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16\"/>
    </mc:Choice>
  </mc:AlternateContent>
  <bookViews>
    <workbookView xWindow="0" yWindow="0" windowWidth="23040" windowHeight="8832" activeTab="1"/>
  </bookViews>
  <sheets>
    <sheet name="штати" sheetId="2" r:id="rId1"/>
    <sheet name="звед" sheetId="1" r:id="rId2"/>
  </sheets>
  <externalReferences>
    <externalReference r:id="rId3"/>
  </externalReferences>
  <definedNames>
    <definedName name="_xlnm.Print_Titles" localSheetId="1">звед!$8:$8</definedName>
    <definedName name="_xlnm.Print_Titles" localSheetId="0">штати!$18:$18</definedName>
    <definedName name="_xlnm.Print_Area" localSheetId="0">штати!$A$1:$Y$828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23" i="2" l="1"/>
  <c r="Y822" i="2"/>
  <c r="Y819" i="2"/>
  <c r="V816" i="2"/>
  <c r="U816" i="2"/>
  <c r="T816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C816" i="2"/>
  <c r="W815" i="2"/>
  <c r="F815" i="2"/>
  <c r="X815" i="2" s="1"/>
  <c r="Y815" i="2" s="1"/>
  <c r="W814" i="2"/>
  <c r="W816" i="2" s="1"/>
  <c r="F814" i="2"/>
  <c r="F816" i="2" s="1"/>
  <c r="V812" i="2"/>
  <c r="U812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C812" i="2"/>
  <c r="W811" i="2"/>
  <c r="F811" i="2"/>
  <c r="X811" i="2" s="1"/>
  <c r="Y811" i="2" s="1"/>
  <c r="W810" i="2"/>
  <c r="F810" i="2"/>
  <c r="X810" i="2" s="1"/>
  <c r="Y810" i="2" s="1"/>
  <c r="W809" i="2"/>
  <c r="F809" i="2"/>
  <c r="X809" i="2" s="1"/>
  <c r="Y809" i="2" s="1"/>
  <c r="W808" i="2"/>
  <c r="W812" i="2" s="1"/>
  <c r="F808" i="2"/>
  <c r="X808" i="2" s="1"/>
  <c r="Y808" i="2" s="1"/>
  <c r="W807" i="2"/>
  <c r="F807" i="2"/>
  <c r="V805" i="2"/>
  <c r="U805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C805" i="2"/>
  <c r="W804" i="2"/>
  <c r="F804" i="2"/>
  <c r="X804" i="2" s="1"/>
  <c r="Y804" i="2" s="1"/>
  <c r="W803" i="2"/>
  <c r="W805" i="2" s="1"/>
  <c r="F803" i="2"/>
  <c r="Z801" i="2"/>
  <c r="V801" i="2"/>
  <c r="U801" i="2"/>
  <c r="T801" i="2"/>
  <c r="S801" i="2"/>
  <c r="R801" i="2"/>
  <c r="Q801" i="2"/>
  <c r="P801" i="2"/>
  <c r="O801" i="2"/>
  <c r="M801" i="2"/>
  <c r="L801" i="2"/>
  <c r="K801" i="2"/>
  <c r="J801" i="2"/>
  <c r="H801" i="2"/>
  <c r="F801" i="2"/>
  <c r="C801" i="2"/>
  <c r="I800" i="2"/>
  <c r="F800" i="2"/>
  <c r="I799" i="2"/>
  <c r="F799" i="2"/>
  <c r="I798" i="2"/>
  <c r="F798" i="2"/>
  <c r="I797" i="2"/>
  <c r="I801" i="2" s="1"/>
  <c r="F797" i="2"/>
  <c r="W795" i="2"/>
  <c r="V795" i="2"/>
  <c r="U795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F795" i="2"/>
  <c r="C795" i="2"/>
  <c r="W794" i="2"/>
  <c r="F794" i="2"/>
  <c r="X794" i="2" s="1"/>
  <c r="X795" i="2" s="1"/>
  <c r="AC792" i="2"/>
  <c r="AB792" i="2"/>
  <c r="AA792" i="2"/>
  <c r="Z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F792" i="2"/>
  <c r="C792" i="2"/>
  <c r="W791" i="2"/>
  <c r="F791" i="2"/>
  <c r="X791" i="2" s="1"/>
  <c r="Y791" i="2" s="1"/>
  <c r="W790" i="2"/>
  <c r="W792" i="2" s="1"/>
  <c r="F790" i="2"/>
  <c r="W789" i="2"/>
  <c r="F789" i="2"/>
  <c r="X789" i="2" s="1"/>
  <c r="V786" i="2"/>
  <c r="U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C786" i="2"/>
  <c r="W785" i="2"/>
  <c r="X785" i="2" s="1"/>
  <c r="Y785" i="2" s="1"/>
  <c r="F785" i="2"/>
  <c r="W784" i="2"/>
  <c r="X784" i="2" s="1"/>
  <c r="Y784" i="2" s="1"/>
  <c r="F784" i="2"/>
  <c r="F783" i="2"/>
  <c r="T783" i="2" s="1"/>
  <c r="W782" i="2"/>
  <c r="F782" i="2"/>
  <c r="V780" i="2"/>
  <c r="U780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C780" i="2"/>
  <c r="W779" i="2"/>
  <c r="X779" i="2" s="1"/>
  <c r="Y779" i="2" s="1"/>
  <c r="F779" i="2"/>
  <c r="Y778" i="2"/>
  <c r="W778" i="2"/>
  <c r="X778" i="2" s="1"/>
  <c r="F778" i="2"/>
  <c r="W777" i="2"/>
  <c r="X777" i="2" s="1"/>
  <c r="Y777" i="2" s="1"/>
  <c r="F777" i="2"/>
  <c r="Y776" i="2"/>
  <c r="W776" i="2"/>
  <c r="X776" i="2" s="1"/>
  <c r="F776" i="2"/>
  <c r="W775" i="2"/>
  <c r="F775" i="2"/>
  <c r="V773" i="2"/>
  <c r="U773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F773" i="2"/>
  <c r="C773" i="2"/>
  <c r="W772" i="2"/>
  <c r="F772" i="2"/>
  <c r="W771" i="2"/>
  <c r="F771" i="2"/>
  <c r="X771" i="2" s="1"/>
  <c r="Y771" i="2" s="1"/>
  <c r="W770" i="2"/>
  <c r="F770" i="2"/>
  <c r="W769" i="2"/>
  <c r="F769" i="2"/>
  <c r="X769" i="2" s="1"/>
  <c r="AC767" i="2"/>
  <c r="AB767" i="2"/>
  <c r="AA767" i="2"/>
  <c r="Z767" i="2"/>
  <c r="W767" i="2"/>
  <c r="V767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F767" i="2"/>
  <c r="C767" i="2"/>
  <c r="Y766" i="2"/>
  <c r="Y767" i="2" s="1"/>
  <c r="W766" i="2"/>
  <c r="X766" i="2" s="1"/>
  <c r="X767" i="2" s="1"/>
  <c r="F766" i="2"/>
  <c r="V764" i="2"/>
  <c r="U764" i="2"/>
  <c r="T764" i="2"/>
  <c r="S764" i="2"/>
  <c r="R764" i="2"/>
  <c r="Q764" i="2"/>
  <c r="P764" i="2"/>
  <c r="O764" i="2"/>
  <c r="M764" i="2"/>
  <c r="L764" i="2"/>
  <c r="K764" i="2"/>
  <c r="J764" i="2"/>
  <c r="F764" i="2"/>
  <c r="C764" i="2"/>
  <c r="H763" i="2"/>
  <c r="F763" i="2"/>
  <c r="N763" i="2" s="1"/>
  <c r="I762" i="2"/>
  <c r="F762" i="2"/>
  <c r="N762" i="2" s="1"/>
  <c r="N764" i="2" s="1"/>
  <c r="Y761" i="2"/>
  <c r="W761" i="2"/>
  <c r="X761" i="2" s="1"/>
  <c r="F761" i="2"/>
  <c r="V759" i="2"/>
  <c r="U759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F759" i="2"/>
  <c r="C759" i="2"/>
  <c r="Y758" i="2"/>
  <c r="W758" i="2"/>
  <c r="X758" i="2" s="1"/>
  <c r="F758" i="2"/>
  <c r="W757" i="2"/>
  <c r="X757" i="2" s="1"/>
  <c r="Y757" i="2" s="1"/>
  <c r="F757" i="2"/>
  <c r="Y756" i="2"/>
  <c r="W756" i="2"/>
  <c r="X756" i="2" s="1"/>
  <c r="F756" i="2"/>
  <c r="W755" i="2"/>
  <c r="X755" i="2" s="1"/>
  <c r="F755" i="2"/>
  <c r="I755" i="2" s="1"/>
  <c r="AC751" i="2"/>
  <c r="AC817" i="2" s="1"/>
  <c r="AC818" i="2" s="1"/>
  <c r="AB751" i="2"/>
  <c r="AA751" i="2"/>
  <c r="Z751" i="2"/>
  <c r="V751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W750" i="2"/>
  <c r="C750" i="2"/>
  <c r="X749" i="2"/>
  <c r="Y749" i="2" s="1"/>
  <c r="W749" i="2"/>
  <c r="F749" i="2"/>
  <c r="X748" i="2"/>
  <c r="Y748" i="2" s="1"/>
  <c r="W748" i="2"/>
  <c r="F748" i="2"/>
  <c r="X747" i="2"/>
  <c r="Y747" i="2" s="1"/>
  <c r="W747" i="2"/>
  <c r="F747" i="2"/>
  <c r="X746" i="2"/>
  <c r="Y746" i="2" s="1"/>
  <c r="W746" i="2"/>
  <c r="F746" i="2"/>
  <c r="X745" i="2"/>
  <c r="Y745" i="2" s="1"/>
  <c r="W745" i="2"/>
  <c r="F745" i="2"/>
  <c r="X744" i="2"/>
  <c r="Y744" i="2" s="1"/>
  <c r="W744" i="2"/>
  <c r="F744" i="2"/>
  <c r="X743" i="2"/>
  <c r="Y743" i="2" s="1"/>
  <c r="W743" i="2"/>
  <c r="F743" i="2"/>
  <c r="X742" i="2"/>
  <c r="Y742" i="2" s="1"/>
  <c r="W742" i="2"/>
  <c r="W751" i="2" s="1"/>
  <c r="F742" i="2"/>
  <c r="U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C740" i="2"/>
  <c r="X739" i="2"/>
  <c r="Y739" i="2" s="1"/>
  <c r="W739" i="2"/>
  <c r="F739" i="2"/>
  <c r="X738" i="2"/>
  <c r="Y738" i="2" s="1"/>
  <c r="W738" i="2"/>
  <c r="F738" i="2"/>
  <c r="T737" i="2"/>
  <c r="W737" i="2" s="1"/>
  <c r="X737" i="2" s="1"/>
  <c r="Y737" i="2" s="1"/>
  <c r="F737" i="2"/>
  <c r="F736" i="2"/>
  <c r="T736" i="2" s="1"/>
  <c r="W736" i="2" s="1"/>
  <c r="C736" i="2"/>
  <c r="T735" i="2"/>
  <c r="F735" i="2"/>
  <c r="V735" i="2" s="1"/>
  <c r="V740" i="2" s="1"/>
  <c r="Y734" i="2"/>
  <c r="W734" i="2"/>
  <c r="X734" i="2" s="1"/>
  <c r="F734" i="2"/>
  <c r="W733" i="2"/>
  <c r="X733" i="2" s="1"/>
  <c r="Y733" i="2" s="1"/>
  <c r="F733" i="2"/>
  <c r="Y732" i="2"/>
  <c r="W732" i="2"/>
  <c r="X732" i="2" s="1"/>
  <c r="F732" i="2"/>
  <c r="W731" i="2"/>
  <c r="X731" i="2" s="1"/>
  <c r="Y731" i="2" s="1"/>
  <c r="F731" i="2"/>
  <c r="Y730" i="2"/>
  <c r="W730" i="2"/>
  <c r="X730" i="2" s="1"/>
  <c r="F730" i="2"/>
  <c r="W729" i="2"/>
  <c r="C729" i="2"/>
  <c r="X728" i="2"/>
  <c r="Y728" i="2" s="1"/>
  <c r="W728" i="2"/>
  <c r="F728" i="2"/>
  <c r="X727" i="2"/>
  <c r="Y727" i="2" s="1"/>
  <c r="W727" i="2"/>
  <c r="F727" i="2"/>
  <c r="X726" i="2"/>
  <c r="Y726" i="2" s="1"/>
  <c r="W726" i="2"/>
  <c r="F726" i="2"/>
  <c r="X725" i="2"/>
  <c r="Y725" i="2" s="1"/>
  <c r="W725" i="2"/>
  <c r="F725" i="2"/>
  <c r="X724" i="2"/>
  <c r="Y724" i="2" s="1"/>
  <c r="W724" i="2"/>
  <c r="F724" i="2"/>
  <c r="X723" i="2"/>
  <c r="Y723" i="2" s="1"/>
  <c r="W723" i="2"/>
  <c r="F723" i="2"/>
  <c r="X722" i="2"/>
  <c r="Y722" i="2" s="1"/>
  <c r="W722" i="2"/>
  <c r="F722" i="2"/>
  <c r="X721" i="2"/>
  <c r="Y721" i="2" s="1"/>
  <c r="W721" i="2"/>
  <c r="F721" i="2"/>
  <c r="X720" i="2"/>
  <c r="Y720" i="2" s="1"/>
  <c r="W720" i="2"/>
  <c r="F720" i="2"/>
  <c r="V718" i="2"/>
  <c r="U718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C718" i="2"/>
  <c r="X717" i="2"/>
  <c r="Y717" i="2" s="1"/>
  <c r="W717" i="2"/>
  <c r="F717" i="2"/>
  <c r="X716" i="2"/>
  <c r="Y716" i="2" s="1"/>
  <c r="W716" i="2"/>
  <c r="F716" i="2"/>
  <c r="X715" i="2"/>
  <c r="Y715" i="2" s="1"/>
  <c r="W715" i="2"/>
  <c r="F715" i="2"/>
  <c r="X714" i="2"/>
  <c r="Y714" i="2" s="1"/>
  <c r="W714" i="2"/>
  <c r="F714" i="2"/>
  <c r="X713" i="2"/>
  <c r="Y713" i="2" s="1"/>
  <c r="W713" i="2"/>
  <c r="F713" i="2"/>
  <c r="X712" i="2"/>
  <c r="Y712" i="2" s="1"/>
  <c r="W712" i="2"/>
  <c r="F712" i="2"/>
  <c r="X711" i="2"/>
  <c r="Y711" i="2" s="1"/>
  <c r="W711" i="2"/>
  <c r="F711" i="2"/>
  <c r="X710" i="2"/>
  <c r="Y710" i="2" s="1"/>
  <c r="W710" i="2"/>
  <c r="F710" i="2"/>
  <c r="X709" i="2"/>
  <c r="Y709" i="2" s="1"/>
  <c r="W709" i="2"/>
  <c r="F709" i="2"/>
  <c r="X708" i="2"/>
  <c r="Y708" i="2" s="1"/>
  <c r="W708" i="2"/>
  <c r="W718" i="2" s="1"/>
  <c r="F708" i="2"/>
  <c r="X707" i="2"/>
  <c r="W707" i="2"/>
  <c r="F707" i="2"/>
  <c r="F718" i="2" s="1"/>
  <c r="V705" i="2"/>
  <c r="U705" i="2"/>
  <c r="S705" i="2"/>
  <c r="R705" i="2"/>
  <c r="Q705" i="2"/>
  <c r="P705" i="2"/>
  <c r="O705" i="2"/>
  <c r="M705" i="2"/>
  <c r="L705" i="2"/>
  <c r="K705" i="2"/>
  <c r="J705" i="2"/>
  <c r="T704" i="2"/>
  <c r="W704" i="2" s="1"/>
  <c r="X704" i="2" s="1"/>
  <c r="Y704" i="2" s="1"/>
  <c r="F704" i="2"/>
  <c r="H703" i="2"/>
  <c r="F703" i="2"/>
  <c r="N703" i="2" s="1"/>
  <c r="W702" i="2"/>
  <c r="C702" i="2"/>
  <c r="X701" i="2"/>
  <c r="Y701" i="2" s="1"/>
  <c r="W701" i="2"/>
  <c r="F701" i="2"/>
  <c r="F700" i="2"/>
  <c r="N699" i="2"/>
  <c r="F699" i="2"/>
  <c r="AC697" i="2"/>
  <c r="AB697" i="2"/>
  <c r="AA697" i="2"/>
  <c r="AA817" i="2" s="1"/>
  <c r="AA818" i="2" s="1"/>
  <c r="AA823" i="2" s="1"/>
  <c r="Z697" i="2"/>
  <c r="X697" i="2"/>
  <c r="V697" i="2"/>
  <c r="U697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C697" i="2"/>
  <c r="X696" i="2"/>
  <c r="Y696" i="2" s="1"/>
  <c r="Y697" i="2" s="1"/>
  <c r="W696" i="2"/>
  <c r="W697" i="2" s="1"/>
  <c r="F696" i="2"/>
  <c r="F697" i="2" s="1"/>
  <c r="V694" i="2"/>
  <c r="U694" i="2"/>
  <c r="T694" i="2"/>
  <c r="R694" i="2"/>
  <c r="P694" i="2"/>
  <c r="O694" i="2"/>
  <c r="M694" i="2"/>
  <c r="L694" i="2"/>
  <c r="K694" i="2"/>
  <c r="J694" i="2"/>
  <c r="H694" i="2"/>
  <c r="C694" i="2"/>
  <c r="X693" i="2"/>
  <c r="Y693" i="2" s="1"/>
  <c r="W693" i="2"/>
  <c r="F693" i="2"/>
  <c r="X692" i="2"/>
  <c r="Y692" i="2" s="1"/>
  <c r="W692" i="2"/>
  <c r="F692" i="2"/>
  <c r="X691" i="2"/>
  <c r="Y691" i="2" s="1"/>
  <c r="W691" i="2"/>
  <c r="F691" i="2"/>
  <c r="N690" i="2"/>
  <c r="F690" i="2"/>
  <c r="I690" i="2" s="1"/>
  <c r="S689" i="2"/>
  <c r="S694" i="2" s="1"/>
  <c r="N689" i="2"/>
  <c r="F689" i="2"/>
  <c r="T686" i="2"/>
  <c r="J686" i="2"/>
  <c r="W686" i="2" s="1"/>
  <c r="X686" i="2" s="1"/>
  <c r="Y686" i="2" s="1"/>
  <c r="V685" i="2"/>
  <c r="U685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Y684" i="2"/>
  <c r="W684" i="2"/>
  <c r="X684" i="2" s="1"/>
  <c r="F684" i="2"/>
  <c r="W683" i="2"/>
  <c r="F683" i="2"/>
  <c r="Y682" i="2"/>
  <c r="W682" i="2"/>
  <c r="X682" i="2" s="1"/>
  <c r="F682" i="2"/>
  <c r="W681" i="2"/>
  <c r="F681" i="2"/>
  <c r="Y680" i="2"/>
  <c r="W680" i="2"/>
  <c r="X680" i="2" s="1"/>
  <c r="F680" i="2"/>
  <c r="W679" i="2"/>
  <c r="X679" i="2" s="1"/>
  <c r="Y679" i="2" s="1"/>
  <c r="F679" i="2"/>
  <c r="Y678" i="2"/>
  <c r="W678" i="2"/>
  <c r="X678" i="2" s="1"/>
  <c r="F678" i="2"/>
  <c r="W677" i="2"/>
  <c r="X677" i="2" s="1"/>
  <c r="Y677" i="2" s="1"/>
  <c r="F677" i="2"/>
  <c r="W676" i="2"/>
  <c r="C676" i="2"/>
  <c r="F676" i="2" s="1"/>
  <c r="X676" i="2" s="1"/>
  <c r="Y676" i="2" s="1"/>
  <c r="W675" i="2"/>
  <c r="F675" i="2"/>
  <c r="F685" i="2" s="1"/>
  <c r="C675" i="2"/>
  <c r="W674" i="2"/>
  <c r="F674" i="2"/>
  <c r="Y673" i="2"/>
  <c r="W673" i="2"/>
  <c r="X673" i="2" s="1"/>
  <c r="F673" i="2"/>
  <c r="W672" i="2"/>
  <c r="X672" i="2" s="1"/>
  <c r="Y672" i="2" s="1"/>
  <c r="F672" i="2"/>
  <c r="W671" i="2"/>
  <c r="F671" i="2"/>
  <c r="V669" i="2"/>
  <c r="U669" i="2"/>
  <c r="T669" i="2"/>
  <c r="S669" i="2"/>
  <c r="R669" i="2"/>
  <c r="Q669" i="2"/>
  <c r="P669" i="2"/>
  <c r="O669" i="2"/>
  <c r="O817" i="2" s="1"/>
  <c r="O818" i="2" s="1"/>
  <c r="O823" i="2" s="1"/>
  <c r="M669" i="2"/>
  <c r="L669" i="2"/>
  <c r="K669" i="2"/>
  <c r="J669" i="2"/>
  <c r="I669" i="2"/>
  <c r="H669" i="2"/>
  <c r="C669" i="2"/>
  <c r="W668" i="2"/>
  <c r="X668" i="2" s="1"/>
  <c r="F668" i="2"/>
  <c r="N668" i="2" s="1"/>
  <c r="N669" i="2" s="1"/>
  <c r="V666" i="2"/>
  <c r="U666" i="2"/>
  <c r="T666" i="2"/>
  <c r="S666" i="2"/>
  <c r="R666" i="2"/>
  <c r="Q666" i="2"/>
  <c r="P666" i="2"/>
  <c r="O666" i="2"/>
  <c r="L666" i="2"/>
  <c r="K666" i="2"/>
  <c r="J666" i="2"/>
  <c r="I666" i="2"/>
  <c r="X665" i="2"/>
  <c r="Y665" i="2" s="1"/>
  <c r="J665" i="2"/>
  <c r="W665" i="2" s="1"/>
  <c r="F664" i="2"/>
  <c r="C664" i="2"/>
  <c r="M663" i="2"/>
  <c r="M666" i="2" s="1"/>
  <c r="F663" i="2"/>
  <c r="C663" i="2"/>
  <c r="C662" i="2"/>
  <c r="H661" i="2"/>
  <c r="W661" i="2" s="1"/>
  <c r="X661" i="2" s="1"/>
  <c r="Y661" i="2" s="1"/>
  <c r="F661" i="2"/>
  <c r="N661" i="2" s="1"/>
  <c r="Y660" i="2"/>
  <c r="H660" i="2"/>
  <c r="W660" i="2" s="1"/>
  <c r="X660" i="2" s="1"/>
  <c r="F660" i="2"/>
  <c r="N660" i="2" s="1"/>
  <c r="H659" i="2"/>
  <c r="W659" i="2" s="1"/>
  <c r="X659" i="2" s="1"/>
  <c r="Y659" i="2" s="1"/>
  <c r="F659" i="2"/>
  <c r="N659" i="2" s="1"/>
  <c r="H658" i="2"/>
  <c r="F658" i="2"/>
  <c r="V656" i="2"/>
  <c r="U656" i="2"/>
  <c r="T656" i="2"/>
  <c r="S656" i="2"/>
  <c r="R656" i="2"/>
  <c r="Q656" i="2"/>
  <c r="P656" i="2"/>
  <c r="O656" i="2"/>
  <c r="M656" i="2"/>
  <c r="L656" i="2"/>
  <c r="K656" i="2"/>
  <c r="J656" i="2"/>
  <c r="I656" i="2"/>
  <c r="H656" i="2"/>
  <c r="F656" i="2"/>
  <c r="C656" i="2"/>
  <c r="Y655" i="2"/>
  <c r="I655" i="2"/>
  <c r="W655" i="2" s="1"/>
  <c r="X655" i="2" s="1"/>
  <c r="F655" i="2"/>
  <c r="N655" i="2" s="1"/>
  <c r="N656" i="2" s="1"/>
  <c r="Y654" i="2"/>
  <c r="Y656" i="2" s="1"/>
  <c r="W654" i="2"/>
  <c r="X654" i="2" s="1"/>
  <c r="F654" i="2"/>
  <c r="AC652" i="2"/>
  <c r="AB652" i="2"/>
  <c r="AA652" i="2"/>
  <c r="Z652" i="2"/>
  <c r="V652" i="2"/>
  <c r="U652" i="2"/>
  <c r="T652" i="2"/>
  <c r="S652" i="2"/>
  <c r="R652" i="2"/>
  <c r="Q652" i="2"/>
  <c r="P652" i="2"/>
  <c r="O652" i="2"/>
  <c r="M652" i="2"/>
  <c r="L652" i="2"/>
  <c r="K652" i="2"/>
  <c r="J652" i="2"/>
  <c r="H652" i="2"/>
  <c r="C651" i="2"/>
  <c r="F650" i="2"/>
  <c r="N649" i="2"/>
  <c r="F649" i="2"/>
  <c r="I649" i="2" s="1"/>
  <c r="V647" i="2"/>
  <c r="U647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C647" i="2"/>
  <c r="X646" i="2"/>
  <c r="Y646" i="2" s="1"/>
  <c r="W646" i="2"/>
  <c r="F646" i="2"/>
  <c r="X645" i="2"/>
  <c r="Y645" i="2" s="1"/>
  <c r="W645" i="2"/>
  <c r="F645" i="2"/>
  <c r="X644" i="2"/>
  <c r="Y644" i="2" s="1"/>
  <c r="W644" i="2"/>
  <c r="W647" i="2" s="1"/>
  <c r="F644" i="2"/>
  <c r="V642" i="2"/>
  <c r="U642" i="2"/>
  <c r="S642" i="2"/>
  <c r="R642" i="2"/>
  <c r="Q642" i="2"/>
  <c r="P642" i="2"/>
  <c r="O642" i="2"/>
  <c r="N642" i="2"/>
  <c r="M642" i="2"/>
  <c r="L642" i="2"/>
  <c r="K642" i="2"/>
  <c r="J642" i="2"/>
  <c r="H642" i="2"/>
  <c r="C642" i="2"/>
  <c r="X641" i="2"/>
  <c r="Y641" i="2" s="1"/>
  <c r="W641" i="2"/>
  <c r="F641" i="2"/>
  <c r="I640" i="2"/>
  <c r="W640" i="2" s="1"/>
  <c r="X640" i="2" s="1"/>
  <c r="Y640" i="2" s="1"/>
  <c r="F640" i="2"/>
  <c r="F639" i="2"/>
  <c r="I639" i="2" s="1"/>
  <c r="W639" i="2" s="1"/>
  <c r="X639" i="2" s="1"/>
  <c r="Y639" i="2" s="1"/>
  <c r="I638" i="2"/>
  <c r="W638" i="2" s="1"/>
  <c r="X638" i="2" s="1"/>
  <c r="Y638" i="2" s="1"/>
  <c r="F638" i="2"/>
  <c r="F637" i="2"/>
  <c r="I637" i="2" s="1"/>
  <c r="W637" i="2" s="1"/>
  <c r="X637" i="2" s="1"/>
  <c r="Y637" i="2" s="1"/>
  <c r="I636" i="2"/>
  <c r="W636" i="2" s="1"/>
  <c r="X636" i="2" s="1"/>
  <c r="Y636" i="2" s="1"/>
  <c r="F636" i="2"/>
  <c r="F635" i="2"/>
  <c r="I635" i="2" s="1"/>
  <c r="W635" i="2" s="1"/>
  <c r="X635" i="2" s="1"/>
  <c r="Y635" i="2" s="1"/>
  <c r="I634" i="2"/>
  <c r="W634" i="2" s="1"/>
  <c r="X634" i="2" s="1"/>
  <c r="Y634" i="2" s="1"/>
  <c r="F634" i="2"/>
  <c r="F633" i="2"/>
  <c r="I633" i="2" s="1"/>
  <c r="W633" i="2" s="1"/>
  <c r="X633" i="2" s="1"/>
  <c r="Y633" i="2" s="1"/>
  <c r="I632" i="2"/>
  <c r="W632" i="2" s="1"/>
  <c r="X632" i="2" s="1"/>
  <c r="Y632" i="2" s="1"/>
  <c r="F632" i="2"/>
  <c r="F631" i="2"/>
  <c r="I631" i="2" s="1"/>
  <c r="W631" i="2" s="1"/>
  <c r="X631" i="2" s="1"/>
  <c r="Y631" i="2" s="1"/>
  <c r="I630" i="2"/>
  <c r="W630" i="2" s="1"/>
  <c r="X630" i="2" s="1"/>
  <c r="Y630" i="2" s="1"/>
  <c r="F630" i="2"/>
  <c r="F629" i="2"/>
  <c r="I629" i="2" s="1"/>
  <c r="W629" i="2" s="1"/>
  <c r="X629" i="2" s="1"/>
  <c r="Y629" i="2" s="1"/>
  <c r="I628" i="2"/>
  <c r="W628" i="2" s="1"/>
  <c r="X628" i="2" s="1"/>
  <c r="Y628" i="2" s="1"/>
  <c r="F628" i="2"/>
  <c r="F627" i="2"/>
  <c r="I627" i="2" s="1"/>
  <c r="W627" i="2" s="1"/>
  <c r="X627" i="2" s="1"/>
  <c r="Y627" i="2" s="1"/>
  <c r="X626" i="2"/>
  <c r="Y626" i="2" s="1"/>
  <c r="W626" i="2"/>
  <c r="F626" i="2"/>
  <c r="X625" i="2"/>
  <c r="Y625" i="2" s="1"/>
  <c r="I625" i="2"/>
  <c r="W625" i="2" s="1"/>
  <c r="F625" i="2"/>
  <c r="W624" i="2"/>
  <c r="X624" i="2" s="1"/>
  <c r="Y624" i="2" s="1"/>
  <c r="F624" i="2"/>
  <c r="I624" i="2" s="1"/>
  <c r="X623" i="2"/>
  <c r="Y623" i="2" s="1"/>
  <c r="I623" i="2"/>
  <c r="W623" i="2" s="1"/>
  <c r="F623" i="2"/>
  <c r="W622" i="2"/>
  <c r="X622" i="2" s="1"/>
  <c r="Y622" i="2" s="1"/>
  <c r="F622" i="2"/>
  <c r="I622" i="2" s="1"/>
  <c r="X621" i="2"/>
  <c r="Y621" i="2" s="1"/>
  <c r="W621" i="2"/>
  <c r="F621" i="2"/>
  <c r="X620" i="2"/>
  <c r="Y620" i="2" s="1"/>
  <c r="W620" i="2"/>
  <c r="F620" i="2"/>
  <c r="X619" i="2"/>
  <c r="Y619" i="2" s="1"/>
  <c r="W619" i="2"/>
  <c r="F619" i="2"/>
  <c r="I618" i="2"/>
  <c r="W618" i="2" s="1"/>
  <c r="X618" i="2" s="1"/>
  <c r="Y618" i="2" s="1"/>
  <c r="F618" i="2"/>
  <c r="F617" i="2"/>
  <c r="I617" i="2" s="1"/>
  <c r="X616" i="2"/>
  <c r="Y616" i="2" s="1"/>
  <c r="W616" i="2"/>
  <c r="F616" i="2"/>
  <c r="X615" i="2"/>
  <c r="Y615" i="2" s="1"/>
  <c r="W615" i="2"/>
  <c r="F615" i="2"/>
  <c r="X614" i="2"/>
  <c r="Y614" i="2" s="1"/>
  <c r="W614" i="2"/>
  <c r="F614" i="2"/>
  <c r="X613" i="2"/>
  <c r="Y613" i="2" s="1"/>
  <c r="T613" i="2"/>
  <c r="W613" i="2" s="1"/>
  <c r="F613" i="2"/>
  <c r="W612" i="2"/>
  <c r="X612" i="2" s="1"/>
  <c r="Y612" i="2" s="1"/>
  <c r="F612" i="2"/>
  <c r="Y611" i="2"/>
  <c r="W611" i="2"/>
  <c r="X611" i="2" s="1"/>
  <c r="F611" i="2"/>
  <c r="W610" i="2"/>
  <c r="X610" i="2" s="1"/>
  <c r="Y610" i="2" s="1"/>
  <c r="F610" i="2"/>
  <c r="Y609" i="2"/>
  <c r="W609" i="2"/>
  <c r="X609" i="2" s="1"/>
  <c r="F609" i="2"/>
  <c r="W608" i="2"/>
  <c r="X608" i="2" s="1"/>
  <c r="Y608" i="2" s="1"/>
  <c r="F608" i="2"/>
  <c r="W607" i="2"/>
  <c r="F607" i="2"/>
  <c r="W605" i="2"/>
  <c r="V605" i="2"/>
  <c r="U605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G817" i="2" s="1"/>
  <c r="G818" i="2" s="1"/>
  <c r="G823" i="2" s="1"/>
  <c r="C605" i="2"/>
  <c r="X604" i="2"/>
  <c r="Y604" i="2" s="1"/>
  <c r="W604" i="2"/>
  <c r="F604" i="2"/>
  <c r="X603" i="2"/>
  <c r="Y603" i="2" s="1"/>
  <c r="W603" i="2"/>
  <c r="F603" i="2"/>
  <c r="X602" i="2"/>
  <c r="Y602" i="2" s="1"/>
  <c r="W602" i="2"/>
  <c r="F602" i="2"/>
  <c r="X601" i="2"/>
  <c r="Y601" i="2" s="1"/>
  <c r="W601" i="2"/>
  <c r="F601" i="2"/>
  <c r="X600" i="2"/>
  <c r="W600" i="2"/>
  <c r="F600" i="2"/>
  <c r="F605" i="2" s="1"/>
  <c r="V598" i="2"/>
  <c r="U598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C598" i="2"/>
  <c r="X597" i="2"/>
  <c r="W597" i="2"/>
  <c r="W598" i="2" s="1"/>
  <c r="F597" i="2"/>
  <c r="F598" i="2" s="1"/>
  <c r="V595" i="2"/>
  <c r="U595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C595" i="2"/>
  <c r="W594" i="2"/>
  <c r="F594" i="2"/>
  <c r="X594" i="2" s="1"/>
  <c r="Y594" i="2" s="1"/>
  <c r="W593" i="2"/>
  <c r="W595" i="2" s="1"/>
  <c r="F593" i="2"/>
  <c r="V591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C591" i="2"/>
  <c r="W590" i="2"/>
  <c r="F590" i="2"/>
  <c r="X590" i="2" s="1"/>
  <c r="Y590" i="2" s="1"/>
  <c r="W589" i="2"/>
  <c r="F589" i="2"/>
  <c r="X589" i="2" s="1"/>
  <c r="Y589" i="2" s="1"/>
  <c r="W588" i="2"/>
  <c r="F588" i="2"/>
  <c r="X588" i="2" s="1"/>
  <c r="Y588" i="2" s="1"/>
  <c r="W587" i="2"/>
  <c r="F587" i="2"/>
  <c r="X587" i="2" s="1"/>
  <c r="Y587" i="2" s="1"/>
  <c r="W586" i="2"/>
  <c r="F586" i="2"/>
  <c r="X586" i="2" s="1"/>
  <c r="Y586" i="2" s="1"/>
  <c r="W585" i="2"/>
  <c r="W591" i="2" s="1"/>
  <c r="F585" i="2"/>
  <c r="F591" i="2" s="1"/>
  <c r="U583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X582" i="2"/>
  <c r="Y582" i="2" s="1"/>
  <c r="V582" i="2"/>
  <c r="W582" i="2" s="1"/>
  <c r="F582" i="2"/>
  <c r="W581" i="2"/>
  <c r="X581" i="2" s="1"/>
  <c r="Y581" i="2" s="1"/>
  <c r="F581" i="2"/>
  <c r="V581" i="2" s="1"/>
  <c r="C580" i="2"/>
  <c r="F580" i="2" s="1"/>
  <c r="V580" i="2" s="1"/>
  <c r="W580" i="2" s="1"/>
  <c r="V579" i="2"/>
  <c r="W579" i="2" s="1"/>
  <c r="C579" i="2"/>
  <c r="F579" i="2" s="1"/>
  <c r="X578" i="2"/>
  <c r="Y578" i="2" s="1"/>
  <c r="W578" i="2"/>
  <c r="F578" i="2"/>
  <c r="X577" i="2"/>
  <c r="Y577" i="2" s="1"/>
  <c r="W577" i="2"/>
  <c r="F577" i="2"/>
  <c r="X576" i="2"/>
  <c r="Y576" i="2" s="1"/>
  <c r="W576" i="2"/>
  <c r="F576" i="2"/>
  <c r="X575" i="2"/>
  <c r="Y575" i="2" s="1"/>
  <c r="W575" i="2"/>
  <c r="F575" i="2"/>
  <c r="Z573" i="2"/>
  <c r="V573" i="2"/>
  <c r="U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W572" i="2"/>
  <c r="F572" i="2"/>
  <c r="X572" i="2" s="1"/>
  <c r="Y572" i="2" s="1"/>
  <c r="C572" i="2"/>
  <c r="W571" i="2"/>
  <c r="C571" i="2"/>
  <c r="F571" i="2" s="1"/>
  <c r="W570" i="2"/>
  <c r="F570" i="2"/>
  <c r="X570" i="2" s="1"/>
  <c r="Y570" i="2" s="1"/>
  <c r="C570" i="2"/>
  <c r="W569" i="2"/>
  <c r="F569" i="2"/>
  <c r="X569" i="2" s="1"/>
  <c r="Y569" i="2" s="1"/>
  <c r="W568" i="2"/>
  <c r="F568" i="2"/>
  <c r="W567" i="2"/>
  <c r="F567" i="2"/>
  <c r="X567" i="2" s="1"/>
  <c r="Y567" i="2" s="1"/>
  <c r="W566" i="2"/>
  <c r="F566" i="2"/>
  <c r="W565" i="2"/>
  <c r="F565" i="2"/>
  <c r="X565" i="2" s="1"/>
  <c r="Y565" i="2" s="1"/>
  <c r="W564" i="2"/>
  <c r="C564" i="2"/>
  <c r="F564" i="2" s="1"/>
  <c r="W563" i="2"/>
  <c r="F563" i="2"/>
  <c r="X563" i="2" s="1"/>
  <c r="Y563" i="2" s="1"/>
  <c r="W562" i="2"/>
  <c r="F562" i="2"/>
  <c r="X562" i="2" s="1"/>
  <c r="Y562" i="2" s="1"/>
  <c r="W561" i="2"/>
  <c r="F561" i="2"/>
  <c r="X561" i="2" s="1"/>
  <c r="Y561" i="2" s="1"/>
  <c r="C561" i="2"/>
  <c r="W560" i="2"/>
  <c r="C560" i="2"/>
  <c r="F560" i="2" s="1"/>
  <c r="X560" i="2" s="1"/>
  <c r="Y560" i="2" s="1"/>
  <c r="W559" i="2"/>
  <c r="F559" i="2"/>
  <c r="X559" i="2" s="1"/>
  <c r="Y559" i="2" s="1"/>
  <c r="C559" i="2"/>
  <c r="W558" i="2"/>
  <c r="C558" i="2"/>
  <c r="F558" i="2" s="1"/>
  <c r="W557" i="2"/>
  <c r="F557" i="2"/>
  <c r="X557" i="2" s="1"/>
  <c r="Y557" i="2" s="1"/>
  <c r="C557" i="2"/>
  <c r="F556" i="2"/>
  <c r="C556" i="2"/>
  <c r="W555" i="2"/>
  <c r="C555" i="2"/>
  <c r="F555" i="2" s="1"/>
  <c r="X555" i="2" s="1"/>
  <c r="Y555" i="2" s="1"/>
  <c r="W554" i="2"/>
  <c r="F554" i="2"/>
  <c r="X554" i="2" s="1"/>
  <c r="Y554" i="2" s="1"/>
  <c r="C554" i="2"/>
  <c r="W553" i="2"/>
  <c r="C553" i="2"/>
  <c r="F553" i="2" s="1"/>
  <c r="W552" i="2"/>
  <c r="F552" i="2"/>
  <c r="X552" i="2" s="1"/>
  <c r="Y552" i="2" s="1"/>
  <c r="C552" i="2"/>
  <c r="W551" i="2"/>
  <c r="F551" i="2"/>
  <c r="X551" i="2" s="1"/>
  <c r="Y551" i="2" s="1"/>
  <c r="W550" i="2"/>
  <c r="C550" i="2"/>
  <c r="F550" i="2" s="1"/>
  <c r="W549" i="2"/>
  <c r="F549" i="2"/>
  <c r="X549" i="2" s="1"/>
  <c r="Y549" i="2" s="1"/>
  <c r="W548" i="2"/>
  <c r="F548" i="2"/>
  <c r="X548" i="2" s="1"/>
  <c r="Y548" i="2" s="1"/>
  <c r="W547" i="2"/>
  <c r="F547" i="2"/>
  <c r="X547" i="2" s="1"/>
  <c r="Y547" i="2" s="1"/>
  <c r="W546" i="2"/>
  <c r="F546" i="2"/>
  <c r="X546" i="2" s="1"/>
  <c r="Y546" i="2" s="1"/>
  <c r="W545" i="2"/>
  <c r="F545" i="2"/>
  <c r="X545" i="2" s="1"/>
  <c r="Y545" i="2" s="1"/>
  <c r="W544" i="2"/>
  <c r="F544" i="2"/>
  <c r="X544" i="2" s="1"/>
  <c r="Y544" i="2" s="1"/>
  <c r="W543" i="2"/>
  <c r="F543" i="2"/>
  <c r="X543" i="2" s="1"/>
  <c r="Y543" i="2" s="1"/>
  <c r="C543" i="2"/>
  <c r="W542" i="2"/>
  <c r="C542" i="2"/>
  <c r="F542" i="2" s="1"/>
  <c r="X542" i="2" s="1"/>
  <c r="Y542" i="2" s="1"/>
  <c r="W541" i="2"/>
  <c r="F541" i="2"/>
  <c r="X541" i="2" s="1"/>
  <c r="Y541" i="2" s="1"/>
  <c r="W540" i="2"/>
  <c r="F540" i="2"/>
  <c r="X540" i="2" s="1"/>
  <c r="Y540" i="2" s="1"/>
  <c r="W539" i="2"/>
  <c r="F539" i="2"/>
  <c r="X539" i="2" s="1"/>
  <c r="Y539" i="2" s="1"/>
  <c r="C539" i="2"/>
  <c r="W538" i="2"/>
  <c r="X538" i="2" s="1"/>
  <c r="Y538" i="2" s="1"/>
  <c r="F538" i="2"/>
  <c r="Y537" i="2"/>
  <c r="W537" i="2"/>
  <c r="X537" i="2" s="1"/>
  <c r="F537" i="2"/>
  <c r="F573" i="2" s="1"/>
  <c r="V535" i="2"/>
  <c r="U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C535" i="2"/>
  <c r="W534" i="2"/>
  <c r="X534" i="2" s="1"/>
  <c r="Y534" i="2" s="1"/>
  <c r="F534" i="2"/>
  <c r="Y533" i="2"/>
  <c r="W533" i="2"/>
  <c r="X533" i="2" s="1"/>
  <c r="F533" i="2"/>
  <c r="W532" i="2"/>
  <c r="X532" i="2" s="1"/>
  <c r="Y532" i="2" s="1"/>
  <c r="F532" i="2"/>
  <c r="F531" i="2"/>
  <c r="T531" i="2" s="1"/>
  <c r="X530" i="2"/>
  <c r="Y530" i="2" s="1"/>
  <c r="W530" i="2"/>
  <c r="F530" i="2"/>
  <c r="X529" i="2"/>
  <c r="W529" i="2"/>
  <c r="F529" i="2"/>
  <c r="F535" i="2" s="1"/>
  <c r="V527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C527" i="2"/>
  <c r="W526" i="2"/>
  <c r="W527" i="2" s="1"/>
  <c r="F526" i="2"/>
  <c r="F527" i="2" s="1"/>
  <c r="C526" i="2"/>
  <c r="Z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C524" i="2"/>
  <c r="X523" i="2"/>
  <c r="Y523" i="2" s="1"/>
  <c r="W523" i="2"/>
  <c r="F523" i="2"/>
  <c r="W522" i="2"/>
  <c r="W524" i="2" s="1"/>
  <c r="F522" i="2"/>
  <c r="V520" i="2"/>
  <c r="U520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W520" i="2" s="1"/>
  <c r="C520" i="2"/>
  <c r="X519" i="2"/>
  <c r="Y519" i="2" s="1"/>
  <c r="W519" i="2"/>
  <c r="F519" i="2"/>
  <c r="X518" i="2"/>
  <c r="Y518" i="2" s="1"/>
  <c r="W518" i="2"/>
  <c r="F518" i="2"/>
  <c r="X517" i="2"/>
  <c r="Y517" i="2" s="1"/>
  <c r="W517" i="2"/>
  <c r="F517" i="2"/>
  <c r="X516" i="2"/>
  <c r="Y516" i="2" s="1"/>
  <c r="W516" i="2"/>
  <c r="F516" i="2"/>
  <c r="X515" i="2"/>
  <c r="Y515" i="2" s="1"/>
  <c r="W515" i="2"/>
  <c r="F515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W513" i="2" s="1"/>
  <c r="C513" i="2"/>
  <c r="X512" i="2"/>
  <c r="Y512" i="2" s="1"/>
  <c r="W512" i="2"/>
  <c r="F512" i="2"/>
  <c r="X511" i="2"/>
  <c r="Y511" i="2" s="1"/>
  <c r="W511" i="2"/>
  <c r="F511" i="2"/>
  <c r="X510" i="2"/>
  <c r="Y510" i="2" s="1"/>
  <c r="W510" i="2"/>
  <c r="F510" i="2"/>
  <c r="X509" i="2"/>
  <c r="Y509" i="2" s="1"/>
  <c r="W509" i="2"/>
  <c r="F509" i="2"/>
  <c r="X508" i="2"/>
  <c r="Y508" i="2" s="1"/>
  <c r="W508" i="2"/>
  <c r="F508" i="2"/>
  <c r="C508" i="2"/>
  <c r="W507" i="2"/>
  <c r="X507" i="2" s="1"/>
  <c r="Y507" i="2" s="1"/>
  <c r="F507" i="2"/>
  <c r="Y506" i="2"/>
  <c r="W506" i="2"/>
  <c r="X506" i="2" s="1"/>
  <c r="F506" i="2"/>
  <c r="W505" i="2"/>
  <c r="X505" i="2" s="1"/>
  <c r="Y505" i="2" s="1"/>
  <c r="F505" i="2"/>
  <c r="Y504" i="2"/>
  <c r="W504" i="2"/>
  <c r="X504" i="2" s="1"/>
  <c r="F504" i="2"/>
  <c r="W503" i="2"/>
  <c r="X503" i="2" s="1"/>
  <c r="Y503" i="2" s="1"/>
  <c r="F503" i="2"/>
  <c r="AC501" i="2"/>
  <c r="AB501" i="2"/>
  <c r="AA501" i="2"/>
  <c r="Z501" i="2"/>
  <c r="V501" i="2"/>
  <c r="U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F500" i="2"/>
  <c r="W499" i="2"/>
  <c r="F499" i="2"/>
  <c r="X499" i="2" s="1"/>
  <c r="Y499" i="2" s="1"/>
  <c r="W498" i="2"/>
  <c r="F498" i="2"/>
  <c r="X498" i="2" s="1"/>
  <c r="Y498" i="2" s="1"/>
  <c r="C498" i="2"/>
  <c r="W497" i="2"/>
  <c r="X497" i="2" s="1"/>
  <c r="Y497" i="2" s="1"/>
  <c r="F497" i="2"/>
  <c r="W496" i="2"/>
  <c r="F496" i="2"/>
  <c r="X496" i="2" s="1"/>
  <c r="Y496" i="2" s="1"/>
  <c r="W495" i="2"/>
  <c r="C495" i="2"/>
  <c r="F495" i="2" s="1"/>
  <c r="W494" i="2"/>
  <c r="F494" i="2"/>
  <c r="F501" i="2" s="1"/>
  <c r="C494" i="2"/>
  <c r="C501" i="2" s="1"/>
  <c r="W493" i="2"/>
  <c r="F493" i="2"/>
  <c r="X493" i="2" s="1"/>
  <c r="V491" i="2"/>
  <c r="U491" i="2"/>
  <c r="S491" i="2"/>
  <c r="R491" i="2"/>
  <c r="Q491" i="2"/>
  <c r="P491" i="2"/>
  <c r="O491" i="2"/>
  <c r="M491" i="2"/>
  <c r="L491" i="2"/>
  <c r="K491" i="2"/>
  <c r="J491" i="2"/>
  <c r="I491" i="2"/>
  <c r="H491" i="2"/>
  <c r="W490" i="2"/>
  <c r="X490" i="2" s="1"/>
  <c r="Y490" i="2" s="1"/>
  <c r="F490" i="2"/>
  <c r="Y489" i="2"/>
  <c r="W489" i="2"/>
  <c r="X489" i="2" s="1"/>
  <c r="F489" i="2"/>
  <c r="W488" i="2"/>
  <c r="X488" i="2" s="1"/>
  <c r="Y488" i="2" s="1"/>
  <c r="F488" i="2"/>
  <c r="Y487" i="2"/>
  <c r="W487" i="2"/>
  <c r="X487" i="2" s="1"/>
  <c r="F487" i="2"/>
  <c r="W486" i="2"/>
  <c r="X486" i="2" s="1"/>
  <c r="Y486" i="2" s="1"/>
  <c r="F486" i="2"/>
  <c r="T486" i="2" s="1"/>
  <c r="T491" i="2" s="1"/>
  <c r="X485" i="2"/>
  <c r="Y485" i="2" s="1"/>
  <c r="W485" i="2"/>
  <c r="F485" i="2"/>
  <c r="X484" i="2"/>
  <c r="Y484" i="2" s="1"/>
  <c r="W484" i="2"/>
  <c r="F484" i="2"/>
  <c r="X483" i="2"/>
  <c r="Y483" i="2" s="1"/>
  <c r="W483" i="2"/>
  <c r="F483" i="2"/>
  <c r="X482" i="2"/>
  <c r="Y482" i="2" s="1"/>
  <c r="W482" i="2"/>
  <c r="F482" i="2"/>
  <c r="C482" i="2"/>
  <c r="C491" i="2" s="1"/>
  <c r="W481" i="2"/>
  <c r="X481" i="2" s="1"/>
  <c r="Y481" i="2" s="1"/>
  <c r="F481" i="2"/>
  <c r="Y480" i="2"/>
  <c r="W480" i="2"/>
  <c r="X480" i="2" s="1"/>
  <c r="F480" i="2"/>
  <c r="W479" i="2"/>
  <c r="X479" i="2" s="1"/>
  <c r="Y479" i="2" s="1"/>
  <c r="F479" i="2"/>
  <c r="Y478" i="2"/>
  <c r="F478" i="2"/>
  <c r="N478" i="2" s="1"/>
  <c r="W478" i="2" s="1"/>
  <c r="X478" i="2" s="1"/>
  <c r="N477" i="2"/>
  <c r="F477" i="2"/>
  <c r="Y476" i="2"/>
  <c r="W476" i="2"/>
  <c r="X476" i="2" s="1"/>
  <c r="F476" i="2"/>
  <c r="W475" i="2"/>
  <c r="X475" i="2" s="1"/>
  <c r="F475" i="2"/>
  <c r="V473" i="2"/>
  <c r="U473" i="2"/>
  <c r="T473" i="2"/>
  <c r="S473" i="2"/>
  <c r="Q473" i="2"/>
  <c r="P473" i="2"/>
  <c r="O473" i="2"/>
  <c r="N473" i="2"/>
  <c r="M473" i="2"/>
  <c r="L473" i="2"/>
  <c r="K473" i="2"/>
  <c r="J473" i="2"/>
  <c r="I473" i="2"/>
  <c r="H473" i="2"/>
  <c r="F473" i="2"/>
  <c r="C473" i="2"/>
  <c r="Y472" i="2"/>
  <c r="W472" i="2"/>
  <c r="X472" i="2" s="1"/>
  <c r="F472" i="2"/>
  <c r="K471" i="2"/>
  <c r="F471" i="2"/>
  <c r="V469" i="2"/>
  <c r="U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C469" i="2"/>
  <c r="W468" i="2"/>
  <c r="W469" i="2" s="1"/>
  <c r="F468" i="2"/>
  <c r="Y467" i="2"/>
  <c r="W467" i="2"/>
  <c r="T467" i="2"/>
  <c r="T469" i="2" s="1"/>
  <c r="F467" i="2"/>
  <c r="X467" i="2" s="1"/>
  <c r="W466" i="2"/>
  <c r="F466" i="2"/>
  <c r="X466" i="2" s="1"/>
  <c r="Y466" i="2" s="1"/>
  <c r="W465" i="2"/>
  <c r="F465" i="2"/>
  <c r="F469" i="2" s="1"/>
  <c r="AC463" i="2"/>
  <c r="AB463" i="2"/>
  <c r="AA463" i="2"/>
  <c r="Z463" i="2"/>
  <c r="U463" i="2"/>
  <c r="R463" i="2"/>
  <c r="Q463" i="2"/>
  <c r="P463" i="2"/>
  <c r="O463" i="2"/>
  <c r="M463" i="2"/>
  <c r="L463" i="2"/>
  <c r="K463" i="2"/>
  <c r="J463" i="2"/>
  <c r="H463" i="2"/>
  <c r="X462" i="2"/>
  <c r="Y462" i="2" s="1"/>
  <c r="W462" i="2"/>
  <c r="W461" i="2"/>
  <c r="X461" i="2" s="1"/>
  <c r="Y461" i="2" s="1"/>
  <c r="V460" i="2"/>
  <c r="W460" i="2" s="1"/>
  <c r="X460" i="2" s="1"/>
  <c r="Y460" i="2" s="1"/>
  <c r="F460" i="2"/>
  <c r="F459" i="2"/>
  <c r="V459" i="2" s="1"/>
  <c r="W458" i="2"/>
  <c r="F458" i="2"/>
  <c r="X458" i="2" s="1"/>
  <c r="Y458" i="2" s="1"/>
  <c r="W457" i="2"/>
  <c r="F457" i="2"/>
  <c r="X457" i="2" s="1"/>
  <c r="Y457" i="2" s="1"/>
  <c r="C457" i="2"/>
  <c r="Y456" i="2"/>
  <c r="W456" i="2"/>
  <c r="T456" i="2"/>
  <c r="F456" i="2"/>
  <c r="X456" i="2" s="1"/>
  <c r="C456" i="2"/>
  <c r="W455" i="2"/>
  <c r="C455" i="2"/>
  <c r="F455" i="2" s="1"/>
  <c r="X454" i="2"/>
  <c r="Y454" i="2" s="1"/>
  <c r="T454" i="2"/>
  <c r="W454" i="2" s="1"/>
  <c r="F454" i="2"/>
  <c r="T453" i="2"/>
  <c r="N453" i="2"/>
  <c r="F453" i="2"/>
  <c r="C453" i="2"/>
  <c r="W452" i="2"/>
  <c r="T452" i="2"/>
  <c r="F452" i="2"/>
  <c r="X452" i="2" s="1"/>
  <c r="Y452" i="2" s="1"/>
  <c r="C452" i="2"/>
  <c r="Y451" i="2"/>
  <c r="W451" i="2"/>
  <c r="T451" i="2"/>
  <c r="F451" i="2"/>
  <c r="X451" i="2" s="1"/>
  <c r="T450" i="2"/>
  <c r="W450" i="2" s="1"/>
  <c r="C450" i="2"/>
  <c r="F450" i="2" s="1"/>
  <c r="X450" i="2" s="1"/>
  <c r="Y450" i="2" s="1"/>
  <c r="T449" i="2"/>
  <c r="T463" i="2" s="1"/>
  <c r="S449" i="2"/>
  <c r="S463" i="2" s="1"/>
  <c r="N449" i="2"/>
  <c r="N463" i="2" s="1"/>
  <c r="F449" i="2"/>
  <c r="AC446" i="2"/>
  <c r="AB446" i="2"/>
  <c r="AA446" i="2"/>
  <c r="Z446" i="2"/>
  <c r="V446" i="2"/>
  <c r="U446" i="2"/>
  <c r="T446" i="2"/>
  <c r="R446" i="2"/>
  <c r="P446" i="2"/>
  <c r="O446" i="2"/>
  <c r="M446" i="2"/>
  <c r="L446" i="2"/>
  <c r="K446" i="2"/>
  <c r="J446" i="2"/>
  <c r="I446" i="2"/>
  <c r="H446" i="2"/>
  <c r="C446" i="2"/>
  <c r="S445" i="2"/>
  <c r="N445" i="2"/>
  <c r="F445" i="2"/>
  <c r="Q445" i="2" s="1"/>
  <c r="F444" i="2"/>
  <c r="X442" i="2"/>
  <c r="Y442" i="2" s="1"/>
  <c r="AC441" i="2"/>
  <c r="AB441" i="2"/>
  <c r="AA441" i="2"/>
  <c r="Z441" i="2"/>
  <c r="V441" i="2"/>
  <c r="T441" i="2"/>
  <c r="P441" i="2"/>
  <c r="I441" i="2"/>
  <c r="H441" i="2"/>
  <c r="G441" i="2"/>
  <c r="W440" i="2"/>
  <c r="F440" i="2"/>
  <c r="X440" i="2" s="1"/>
  <c r="Y440" i="2" s="1"/>
  <c r="M439" i="2"/>
  <c r="L439" i="2"/>
  <c r="L441" i="2" s="1"/>
  <c r="C439" i="2"/>
  <c r="F439" i="2" s="1"/>
  <c r="S438" i="2"/>
  <c r="O438" i="2"/>
  <c r="N438" i="2"/>
  <c r="M438" i="2"/>
  <c r="W438" i="2" s="1"/>
  <c r="X438" i="2" s="1"/>
  <c r="Y438" i="2" s="1"/>
  <c r="F438" i="2"/>
  <c r="C438" i="2"/>
  <c r="S437" i="2"/>
  <c r="M437" i="2"/>
  <c r="F437" i="2"/>
  <c r="S436" i="2"/>
  <c r="F436" i="2"/>
  <c r="N436" i="2" s="1"/>
  <c r="U435" i="2"/>
  <c r="U441" i="2" s="1"/>
  <c r="S435" i="2"/>
  <c r="Q435" i="2"/>
  <c r="O435" i="2"/>
  <c r="N435" i="2"/>
  <c r="M435" i="2"/>
  <c r="J435" i="2"/>
  <c r="W435" i="2" s="1"/>
  <c r="C435" i="2"/>
  <c r="F435" i="2" s="1"/>
  <c r="X435" i="2" s="1"/>
  <c r="Y435" i="2" s="1"/>
  <c r="R434" i="2"/>
  <c r="Q434" i="2"/>
  <c r="N434" i="2"/>
  <c r="W434" i="2" s="1"/>
  <c r="X434" i="2" s="1"/>
  <c r="Y434" i="2" s="1"/>
  <c r="F434" i="2"/>
  <c r="S433" i="2"/>
  <c r="Q433" i="2"/>
  <c r="F433" i="2"/>
  <c r="C433" i="2"/>
  <c r="S432" i="2"/>
  <c r="R432" i="2"/>
  <c r="R441" i="2" s="1"/>
  <c r="Q432" i="2"/>
  <c r="Q441" i="2" s="1"/>
  <c r="P432" i="2"/>
  <c r="O432" i="2"/>
  <c r="O441" i="2" s="1"/>
  <c r="N432" i="2"/>
  <c r="M432" i="2"/>
  <c r="M441" i="2" s="1"/>
  <c r="K432" i="2"/>
  <c r="K441" i="2" s="1"/>
  <c r="C432" i="2"/>
  <c r="W431" i="2"/>
  <c r="F431" i="2"/>
  <c r="V428" i="2"/>
  <c r="U428" i="2"/>
  <c r="T428" i="2"/>
  <c r="R428" i="2"/>
  <c r="O428" i="2"/>
  <c r="M428" i="2"/>
  <c r="L428" i="2"/>
  <c r="K428" i="2"/>
  <c r="I428" i="2"/>
  <c r="H428" i="2"/>
  <c r="F428" i="2"/>
  <c r="C428" i="2"/>
  <c r="S427" i="2"/>
  <c r="R427" i="2"/>
  <c r="Q427" i="2"/>
  <c r="P427" i="2"/>
  <c r="P428" i="2" s="1"/>
  <c r="N427" i="2"/>
  <c r="F427" i="2"/>
  <c r="S426" i="2"/>
  <c r="S428" i="2" s="1"/>
  <c r="R426" i="2"/>
  <c r="Q426" i="2"/>
  <c r="Q428" i="2" s="1"/>
  <c r="P426" i="2"/>
  <c r="J426" i="2"/>
  <c r="F426" i="2"/>
  <c r="N426" i="2" s="1"/>
  <c r="N428" i="2" s="1"/>
  <c r="J425" i="2"/>
  <c r="J428" i="2" s="1"/>
  <c r="G425" i="2"/>
  <c r="G428" i="2" s="1"/>
  <c r="V413" i="2"/>
  <c r="U413" i="2"/>
  <c r="T413" i="2"/>
  <c r="S413" i="2"/>
  <c r="R413" i="2"/>
  <c r="Q413" i="2"/>
  <c r="P413" i="2"/>
  <c r="O413" i="2"/>
  <c r="M413" i="2"/>
  <c r="L413" i="2"/>
  <c r="K413" i="2"/>
  <c r="J413" i="2"/>
  <c r="H413" i="2"/>
  <c r="F413" i="2"/>
  <c r="C413" i="2"/>
  <c r="I412" i="2"/>
  <c r="W412" i="2" s="1"/>
  <c r="X412" i="2" s="1"/>
  <c r="Y412" i="2" s="1"/>
  <c r="F412" i="2"/>
  <c r="N412" i="2" s="1"/>
  <c r="Y411" i="2"/>
  <c r="W411" i="2"/>
  <c r="X411" i="2" s="1"/>
  <c r="F411" i="2"/>
  <c r="W410" i="2"/>
  <c r="X410" i="2" s="1"/>
  <c r="Y410" i="2" s="1"/>
  <c r="F410" i="2"/>
  <c r="Y409" i="2"/>
  <c r="W409" i="2"/>
  <c r="X409" i="2" s="1"/>
  <c r="F409" i="2"/>
  <c r="W408" i="2"/>
  <c r="X408" i="2" s="1"/>
  <c r="Y408" i="2" s="1"/>
  <c r="F408" i="2"/>
  <c r="Y407" i="2"/>
  <c r="W407" i="2"/>
  <c r="X407" i="2" s="1"/>
  <c r="F407" i="2"/>
  <c r="W406" i="2"/>
  <c r="X406" i="2" s="1"/>
  <c r="Y406" i="2" s="1"/>
  <c r="F406" i="2"/>
  <c r="I405" i="2"/>
  <c r="W405" i="2" s="1"/>
  <c r="X405" i="2" s="1"/>
  <c r="Y405" i="2" s="1"/>
  <c r="F405" i="2"/>
  <c r="N405" i="2" s="1"/>
  <c r="N413" i="2" s="1"/>
  <c r="Y404" i="2"/>
  <c r="W404" i="2"/>
  <c r="X404" i="2" s="1"/>
  <c r="F404" i="2"/>
  <c r="W403" i="2"/>
  <c r="X403" i="2" s="1"/>
  <c r="Y403" i="2" s="1"/>
  <c r="F403" i="2"/>
  <c r="Y402" i="2"/>
  <c r="W402" i="2"/>
  <c r="X402" i="2" s="1"/>
  <c r="F402" i="2"/>
  <c r="W401" i="2"/>
  <c r="X401" i="2" s="1"/>
  <c r="Y401" i="2" s="1"/>
  <c r="F401" i="2"/>
  <c r="Y400" i="2"/>
  <c r="W400" i="2"/>
  <c r="X400" i="2" s="1"/>
  <c r="F400" i="2"/>
  <c r="W399" i="2"/>
  <c r="X399" i="2" s="1"/>
  <c r="Y399" i="2" s="1"/>
  <c r="F399" i="2"/>
  <c r="Y398" i="2"/>
  <c r="W398" i="2"/>
  <c r="X398" i="2" s="1"/>
  <c r="F398" i="2"/>
  <c r="W397" i="2"/>
  <c r="X397" i="2" s="1"/>
  <c r="Y397" i="2" s="1"/>
  <c r="F397" i="2"/>
  <c r="Y396" i="2"/>
  <c r="W396" i="2"/>
  <c r="X396" i="2" s="1"/>
  <c r="F396" i="2"/>
  <c r="W395" i="2"/>
  <c r="X395" i="2" s="1"/>
  <c r="Y395" i="2" s="1"/>
  <c r="F395" i="2"/>
  <c r="Y394" i="2"/>
  <c r="W394" i="2"/>
  <c r="X394" i="2" s="1"/>
  <c r="F394" i="2"/>
  <c r="W393" i="2"/>
  <c r="X393" i="2" s="1"/>
  <c r="Y393" i="2" s="1"/>
  <c r="F393" i="2"/>
  <c r="Y392" i="2"/>
  <c r="W392" i="2"/>
  <c r="X392" i="2" s="1"/>
  <c r="F392" i="2"/>
  <c r="W391" i="2"/>
  <c r="X391" i="2" s="1"/>
  <c r="Y391" i="2" s="1"/>
  <c r="F391" i="2"/>
  <c r="Y390" i="2"/>
  <c r="Y413" i="2" s="1"/>
  <c r="W390" i="2"/>
  <c r="X390" i="2" s="1"/>
  <c r="F390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W388" i="2" s="1"/>
  <c r="H388" i="2"/>
  <c r="W387" i="2"/>
  <c r="C387" i="2"/>
  <c r="X386" i="2"/>
  <c r="Y386" i="2" s="1"/>
  <c r="W386" i="2"/>
  <c r="F386" i="2"/>
  <c r="X385" i="2"/>
  <c r="W385" i="2"/>
  <c r="F385" i="2"/>
  <c r="V383" i="2"/>
  <c r="U383" i="2"/>
  <c r="T383" i="2"/>
  <c r="R383" i="2"/>
  <c r="Q383" i="2"/>
  <c r="P383" i="2"/>
  <c r="O383" i="2"/>
  <c r="M383" i="2"/>
  <c r="L383" i="2"/>
  <c r="K383" i="2"/>
  <c r="J383" i="2"/>
  <c r="H383" i="2"/>
  <c r="X382" i="2"/>
  <c r="Y382" i="2" s="1"/>
  <c r="W382" i="2"/>
  <c r="F382" i="2"/>
  <c r="F381" i="2"/>
  <c r="I381" i="2" s="1"/>
  <c r="N380" i="2"/>
  <c r="F380" i="2"/>
  <c r="I380" i="2" s="1"/>
  <c r="S379" i="2"/>
  <c r="S383" i="2" s="1"/>
  <c r="I379" i="2"/>
  <c r="F379" i="2"/>
  <c r="N379" i="2" s="1"/>
  <c r="Y378" i="2"/>
  <c r="W378" i="2"/>
  <c r="X378" i="2" s="1"/>
  <c r="F378" i="2"/>
  <c r="W377" i="2"/>
  <c r="C377" i="2"/>
  <c r="X376" i="2"/>
  <c r="Y376" i="2" s="1"/>
  <c r="W376" i="2"/>
  <c r="F376" i="2"/>
  <c r="C376" i="2"/>
  <c r="W375" i="2"/>
  <c r="C375" i="2"/>
  <c r="X374" i="2"/>
  <c r="Y374" i="2" s="1"/>
  <c r="W374" i="2"/>
  <c r="F374" i="2"/>
  <c r="X373" i="2"/>
  <c r="Y373" i="2" s="1"/>
  <c r="W373" i="2"/>
  <c r="F373" i="2"/>
  <c r="C373" i="2"/>
  <c r="W372" i="2"/>
  <c r="C372" i="2"/>
  <c r="X371" i="2"/>
  <c r="Y371" i="2" s="1"/>
  <c r="W371" i="2"/>
  <c r="F371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W369" i="2" s="1"/>
  <c r="C369" i="2"/>
  <c r="W368" i="2"/>
  <c r="F368" i="2"/>
  <c r="X368" i="2" s="1"/>
  <c r="Y368" i="2" s="1"/>
  <c r="W367" i="2"/>
  <c r="F367" i="2"/>
  <c r="X367" i="2" s="1"/>
  <c r="Y367" i="2" s="1"/>
  <c r="W366" i="2"/>
  <c r="F366" i="2"/>
  <c r="X366" i="2" s="1"/>
  <c r="Y366" i="2" s="1"/>
  <c r="W365" i="2"/>
  <c r="F365" i="2"/>
  <c r="X365" i="2" s="1"/>
  <c r="Y365" i="2" s="1"/>
  <c r="W364" i="2"/>
  <c r="F364" i="2"/>
  <c r="X364" i="2" s="1"/>
  <c r="Y364" i="2" s="1"/>
  <c r="W363" i="2"/>
  <c r="F363" i="2"/>
  <c r="F369" i="2" s="1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C361" i="2"/>
  <c r="X360" i="2"/>
  <c r="Y360" i="2" s="1"/>
  <c r="W360" i="2"/>
  <c r="F360" i="2"/>
  <c r="X359" i="2"/>
  <c r="Y359" i="2" s="1"/>
  <c r="W359" i="2"/>
  <c r="F359" i="2"/>
  <c r="X358" i="2"/>
  <c r="Y358" i="2" s="1"/>
  <c r="Y361" i="2" s="1"/>
  <c r="W358" i="2"/>
  <c r="W361" i="2" s="1"/>
  <c r="F358" i="2"/>
  <c r="F361" i="2" s="1"/>
  <c r="V356" i="2"/>
  <c r="U356" i="2"/>
  <c r="T356" i="2"/>
  <c r="S356" i="2"/>
  <c r="R356" i="2"/>
  <c r="Q356" i="2"/>
  <c r="P356" i="2"/>
  <c r="O356" i="2"/>
  <c r="M356" i="2"/>
  <c r="L356" i="2"/>
  <c r="K356" i="2"/>
  <c r="J356" i="2"/>
  <c r="H356" i="2"/>
  <c r="C356" i="2"/>
  <c r="X355" i="2"/>
  <c r="Y355" i="2" s="1"/>
  <c r="W355" i="2"/>
  <c r="F355" i="2"/>
  <c r="X354" i="2"/>
  <c r="Y354" i="2" s="1"/>
  <c r="W354" i="2"/>
  <c r="F354" i="2"/>
  <c r="N353" i="2"/>
  <c r="N356" i="2" s="1"/>
  <c r="F353" i="2"/>
  <c r="X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C351" i="2"/>
  <c r="X350" i="2"/>
  <c r="Y350" i="2" s="1"/>
  <c r="Y351" i="2" s="1"/>
  <c r="W350" i="2"/>
  <c r="W351" i="2" s="1"/>
  <c r="F350" i="2"/>
  <c r="F351" i="2" s="1"/>
  <c r="V348" i="2"/>
  <c r="U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C348" i="2"/>
  <c r="X347" i="2"/>
  <c r="Y347" i="2" s="1"/>
  <c r="W347" i="2"/>
  <c r="F347" i="2"/>
  <c r="X346" i="2"/>
  <c r="Y346" i="2" s="1"/>
  <c r="W346" i="2"/>
  <c r="F346" i="2"/>
  <c r="X345" i="2"/>
  <c r="Y345" i="2" s="1"/>
  <c r="W345" i="2"/>
  <c r="F345" i="2"/>
  <c r="X344" i="2"/>
  <c r="Y344" i="2" s="1"/>
  <c r="W344" i="2"/>
  <c r="F344" i="2"/>
  <c r="X343" i="2"/>
  <c r="Y343" i="2" s="1"/>
  <c r="W343" i="2"/>
  <c r="F343" i="2"/>
  <c r="X342" i="2"/>
  <c r="Y342" i="2" s="1"/>
  <c r="W342" i="2"/>
  <c r="F342" i="2"/>
  <c r="X341" i="2"/>
  <c r="Y341" i="2" s="1"/>
  <c r="W341" i="2"/>
  <c r="F341" i="2"/>
  <c r="X340" i="2"/>
  <c r="Y340" i="2" s="1"/>
  <c r="W340" i="2"/>
  <c r="F340" i="2"/>
  <c r="X339" i="2"/>
  <c r="Y339" i="2" s="1"/>
  <c r="W339" i="2"/>
  <c r="F339" i="2"/>
  <c r="X338" i="2"/>
  <c r="Y338" i="2" s="1"/>
  <c r="W338" i="2"/>
  <c r="F338" i="2"/>
  <c r="C338" i="2"/>
  <c r="Y337" i="2"/>
  <c r="W337" i="2"/>
  <c r="X337" i="2" s="1"/>
  <c r="F337" i="2"/>
  <c r="W336" i="2"/>
  <c r="X336" i="2" s="1"/>
  <c r="Y336" i="2" s="1"/>
  <c r="F336" i="2"/>
  <c r="Y335" i="2"/>
  <c r="W335" i="2"/>
  <c r="X335" i="2" s="1"/>
  <c r="F335" i="2"/>
  <c r="W334" i="2"/>
  <c r="X334" i="2" s="1"/>
  <c r="Y334" i="2" s="1"/>
  <c r="F334" i="2"/>
  <c r="Y333" i="2"/>
  <c r="W333" i="2"/>
  <c r="X333" i="2" s="1"/>
  <c r="F333" i="2"/>
  <c r="W332" i="2"/>
  <c r="X332" i="2" s="1"/>
  <c r="Y332" i="2" s="1"/>
  <c r="F332" i="2"/>
  <c r="F331" i="2"/>
  <c r="T331" i="2" s="1"/>
  <c r="T348" i="2" s="1"/>
  <c r="X330" i="2"/>
  <c r="Y330" i="2" s="1"/>
  <c r="W330" i="2"/>
  <c r="F330" i="2"/>
  <c r="X329" i="2"/>
  <c r="Y329" i="2" s="1"/>
  <c r="W329" i="2"/>
  <c r="F329" i="2"/>
  <c r="X328" i="2"/>
  <c r="Y328" i="2" s="1"/>
  <c r="W328" i="2"/>
  <c r="F328" i="2"/>
  <c r="X327" i="2"/>
  <c r="Y327" i="2" s="1"/>
  <c r="W327" i="2"/>
  <c r="F327" i="2"/>
  <c r="X326" i="2"/>
  <c r="Y326" i="2" s="1"/>
  <c r="W326" i="2"/>
  <c r="F326" i="2"/>
  <c r="C326" i="2"/>
  <c r="W325" i="2"/>
  <c r="T325" i="2"/>
  <c r="F325" i="2"/>
  <c r="C325" i="2"/>
  <c r="Y324" i="2"/>
  <c r="W324" i="2"/>
  <c r="X324" i="2" s="1"/>
  <c r="F324" i="2"/>
  <c r="W323" i="2"/>
  <c r="X323" i="2" s="1"/>
  <c r="Y323" i="2" s="1"/>
  <c r="T323" i="2"/>
  <c r="F323" i="2"/>
  <c r="X322" i="2"/>
  <c r="Y322" i="2" s="1"/>
  <c r="W322" i="2"/>
  <c r="F322" i="2"/>
  <c r="C322" i="2"/>
  <c r="W321" i="2"/>
  <c r="F321" i="2"/>
  <c r="V319" i="2"/>
  <c r="U319" i="2"/>
  <c r="T319" i="2"/>
  <c r="R319" i="2"/>
  <c r="P319" i="2"/>
  <c r="O319" i="2"/>
  <c r="M319" i="2"/>
  <c r="L319" i="2"/>
  <c r="K319" i="2"/>
  <c r="J319" i="2"/>
  <c r="I319" i="2"/>
  <c r="Y318" i="2"/>
  <c r="W318" i="2"/>
  <c r="X318" i="2" s="1"/>
  <c r="F318" i="2"/>
  <c r="H317" i="2"/>
  <c r="F317" i="2"/>
  <c r="N317" i="2" s="1"/>
  <c r="W317" i="2" s="1"/>
  <c r="X317" i="2" s="1"/>
  <c r="Y317" i="2" s="1"/>
  <c r="H316" i="2"/>
  <c r="F316" i="2"/>
  <c r="N316" i="2" s="1"/>
  <c r="W316" i="2" s="1"/>
  <c r="X316" i="2" s="1"/>
  <c r="Y316" i="2" s="1"/>
  <c r="H315" i="2"/>
  <c r="F315" i="2"/>
  <c r="N315" i="2" s="1"/>
  <c r="W315" i="2" s="1"/>
  <c r="X315" i="2" s="1"/>
  <c r="Y315" i="2" s="1"/>
  <c r="C314" i="2"/>
  <c r="N313" i="2"/>
  <c r="F313" i="2"/>
  <c r="H313" i="2" s="1"/>
  <c r="F312" i="2"/>
  <c r="H312" i="2" s="1"/>
  <c r="C312" i="2"/>
  <c r="H311" i="2"/>
  <c r="W311" i="2" s="1"/>
  <c r="X311" i="2" s="1"/>
  <c r="Y311" i="2" s="1"/>
  <c r="F311" i="2"/>
  <c r="N311" i="2" s="1"/>
  <c r="H310" i="2"/>
  <c r="W310" i="2" s="1"/>
  <c r="X310" i="2" s="1"/>
  <c r="Y310" i="2" s="1"/>
  <c r="F310" i="2"/>
  <c r="N310" i="2" s="1"/>
  <c r="C309" i="2"/>
  <c r="F308" i="2"/>
  <c r="H308" i="2" s="1"/>
  <c r="C308" i="2"/>
  <c r="H307" i="2"/>
  <c r="W307" i="2" s="1"/>
  <c r="X307" i="2" s="1"/>
  <c r="Y307" i="2" s="1"/>
  <c r="F307" i="2"/>
  <c r="N307" i="2" s="1"/>
  <c r="H306" i="2"/>
  <c r="W306" i="2" s="1"/>
  <c r="X306" i="2" s="1"/>
  <c r="Y306" i="2" s="1"/>
  <c r="F306" i="2"/>
  <c r="N306" i="2" s="1"/>
  <c r="Q305" i="2"/>
  <c r="Q319" i="2" s="1"/>
  <c r="H305" i="2"/>
  <c r="F305" i="2"/>
  <c r="S305" i="2" s="1"/>
  <c r="S319" i="2" s="1"/>
  <c r="V303" i="2"/>
  <c r="U303" i="2"/>
  <c r="T303" i="2"/>
  <c r="S303" i="2"/>
  <c r="R303" i="2"/>
  <c r="Q303" i="2"/>
  <c r="P303" i="2"/>
  <c r="O303" i="2"/>
  <c r="M303" i="2"/>
  <c r="L303" i="2"/>
  <c r="K303" i="2"/>
  <c r="J303" i="2"/>
  <c r="H303" i="2"/>
  <c r="Y302" i="2"/>
  <c r="W302" i="2"/>
  <c r="X302" i="2" s="1"/>
  <c r="F302" i="2"/>
  <c r="W301" i="2"/>
  <c r="C301" i="2"/>
  <c r="X300" i="2"/>
  <c r="Y300" i="2" s="1"/>
  <c r="W300" i="2"/>
  <c r="F300" i="2"/>
  <c r="C300" i="2"/>
  <c r="C303" i="2" s="1"/>
  <c r="I299" i="2"/>
  <c r="W299" i="2" s="1"/>
  <c r="X299" i="2" s="1"/>
  <c r="Y299" i="2" s="1"/>
  <c r="F299" i="2"/>
  <c r="N299" i="2" s="1"/>
  <c r="I298" i="2"/>
  <c r="I303" i="2" s="1"/>
  <c r="W303" i="2" s="1"/>
  <c r="F298" i="2"/>
  <c r="N298" i="2" s="1"/>
  <c r="N303" i="2" s="1"/>
  <c r="AC296" i="2"/>
  <c r="AB296" i="2"/>
  <c r="AA296" i="2"/>
  <c r="Z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G414" i="2" s="1"/>
  <c r="X295" i="2"/>
  <c r="Y295" i="2" s="1"/>
  <c r="W295" i="2"/>
  <c r="F295" i="2"/>
  <c r="X294" i="2"/>
  <c r="Y294" i="2" s="1"/>
  <c r="W294" i="2"/>
  <c r="F294" i="2"/>
  <c r="C294" i="2"/>
  <c r="Y293" i="2"/>
  <c r="W293" i="2"/>
  <c r="X293" i="2" s="1"/>
  <c r="F293" i="2"/>
  <c r="W292" i="2"/>
  <c r="X292" i="2" s="1"/>
  <c r="Y292" i="2" s="1"/>
  <c r="F292" i="2"/>
  <c r="W291" i="2"/>
  <c r="C291" i="2"/>
  <c r="X290" i="2"/>
  <c r="Y290" i="2" s="1"/>
  <c r="W290" i="2"/>
  <c r="F290" i="2"/>
  <c r="X289" i="2"/>
  <c r="Y289" i="2" s="1"/>
  <c r="W289" i="2"/>
  <c r="F289" i="2"/>
  <c r="X288" i="2"/>
  <c r="Y288" i="2" s="1"/>
  <c r="W288" i="2"/>
  <c r="F288" i="2"/>
  <c r="X287" i="2"/>
  <c r="Y287" i="2" s="1"/>
  <c r="W287" i="2"/>
  <c r="F287" i="2"/>
  <c r="X286" i="2"/>
  <c r="W286" i="2"/>
  <c r="W296" i="2" s="1"/>
  <c r="F286" i="2"/>
  <c r="W283" i="2"/>
  <c r="X283" i="2" s="1"/>
  <c r="Y283" i="2" s="1"/>
  <c r="F283" i="2"/>
  <c r="W282" i="2"/>
  <c r="C282" i="2"/>
  <c r="X282" i="2" s="1"/>
  <c r="Y282" i="2" s="1"/>
  <c r="X281" i="2"/>
  <c r="Y281" i="2" s="1"/>
  <c r="W281" i="2"/>
  <c r="F281" i="2"/>
  <c r="C281" i="2"/>
  <c r="W280" i="2"/>
  <c r="X280" i="2" s="1"/>
  <c r="Y280" i="2" s="1"/>
  <c r="F280" i="2"/>
  <c r="W279" i="2"/>
  <c r="X279" i="2" s="1"/>
  <c r="Y279" i="2" s="1"/>
  <c r="F279" i="2"/>
  <c r="W278" i="2"/>
  <c r="X278" i="2" s="1"/>
  <c r="Y278" i="2" s="1"/>
  <c r="F278" i="2"/>
  <c r="W277" i="2"/>
  <c r="X277" i="2" s="1"/>
  <c r="Y277" i="2" s="1"/>
  <c r="F277" i="2"/>
  <c r="W276" i="2"/>
  <c r="C276" i="2"/>
  <c r="X276" i="2" s="1"/>
  <c r="Y276" i="2" s="1"/>
  <c r="X275" i="2"/>
  <c r="Y275" i="2" s="1"/>
  <c r="W275" i="2"/>
  <c r="F275" i="2"/>
  <c r="X274" i="2"/>
  <c r="Y274" i="2" s="1"/>
  <c r="W274" i="2"/>
  <c r="F274" i="2"/>
  <c r="X273" i="2"/>
  <c r="Y273" i="2" s="1"/>
  <c r="W273" i="2"/>
  <c r="F273" i="2"/>
  <c r="C273" i="2"/>
  <c r="W272" i="2"/>
  <c r="X272" i="2" s="1"/>
  <c r="Y272" i="2" s="1"/>
  <c r="F272" i="2"/>
  <c r="W271" i="2"/>
  <c r="C271" i="2"/>
  <c r="X271" i="2" s="1"/>
  <c r="Y271" i="2" s="1"/>
  <c r="X270" i="2"/>
  <c r="Y270" i="2" s="1"/>
  <c r="W270" i="2"/>
  <c r="F270" i="2"/>
  <c r="C270" i="2"/>
  <c r="W269" i="2"/>
  <c r="X269" i="2" s="1"/>
  <c r="Y269" i="2" s="1"/>
  <c r="F269" i="2"/>
  <c r="W268" i="2"/>
  <c r="X268" i="2" s="1"/>
  <c r="Y268" i="2" s="1"/>
  <c r="F268" i="2"/>
  <c r="W267" i="2"/>
  <c r="X267" i="2" s="1"/>
  <c r="Y267" i="2" s="1"/>
  <c r="F267" i="2"/>
  <c r="W266" i="2"/>
  <c r="C266" i="2"/>
  <c r="X266" i="2" s="1"/>
  <c r="Y266" i="2" s="1"/>
  <c r="X265" i="2"/>
  <c r="Y265" i="2" s="1"/>
  <c r="W265" i="2"/>
  <c r="F265" i="2"/>
  <c r="X264" i="2"/>
  <c r="Y264" i="2" s="1"/>
  <c r="W264" i="2"/>
  <c r="F264" i="2"/>
  <c r="C264" i="2"/>
  <c r="W263" i="2"/>
  <c r="X263" i="2" s="1"/>
  <c r="Y263" i="2" s="1"/>
  <c r="F263" i="2"/>
  <c r="W262" i="2"/>
  <c r="C262" i="2"/>
  <c r="X262" i="2" s="1"/>
  <c r="Y262" i="2" s="1"/>
  <c r="X261" i="2"/>
  <c r="Y261" i="2" s="1"/>
  <c r="W261" i="2"/>
  <c r="F261" i="2"/>
  <c r="X260" i="2"/>
  <c r="Y260" i="2" s="1"/>
  <c r="W260" i="2"/>
  <c r="F260" i="2"/>
  <c r="X259" i="2"/>
  <c r="Y259" i="2" s="1"/>
  <c r="W259" i="2"/>
  <c r="F259" i="2"/>
  <c r="X258" i="2"/>
  <c r="Y258" i="2" s="1"/>
  <c r="W258" i="2"/>
  <c r="F258" i="2"/>
  <c r="X257" i="2"/>
  <c r="Y257" i="2" s="1"/>
  <c r="W257" i="2"/>
  <c r="F257" i="2"/>
  <c r="C257" i="2"/>
  <c r="C284" i="2" s="1"/>
  <c r="W256" i="2"/>
  <c r="X256" i="2" s="1"/>
  <c r="Y256" i="2" s="1"/>
  <c r="F256" i="2"/>
  <c r="W255" i="2"/>
  <c r="X255" i="2" s="1"/>
  <c r="Y255" i="2" s="1"/>
  <c r="F255" i="2"/>
  <c r="W254" i="2"/>
  <c r="X254" i="2" s="1"/>
  <c r="Y254" i="2" s="1"/>
  <c r="F254" i="2"/>
  <c r="W253" i="2"/>
  <c r="X253" i="2" s="1"/>
  <c r="Y253" i="2" s="1"/>
  <c r="F253" i="2"/>
  <c r="W252" i="2"/>
  <c r="W284" i="2" s="1"/>
  <c r="F252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F249" i="2"/>
  <c r="C249" i="2"/>
  <c r="W248" i="2"/>
  <c r="X248" i="2" s="1"/>
  <c r="Y248" i="2" s="1"/>
  <c r="F248" i="2"/>
  <c r="W247" i="2"/>
  <c r="X247" i="2" s="1"/>
  <c r="Y247" i="2" s="1"/>
  <c r="F247" i="2"/>
  <c r="W246" i="2"/>
  <c r="X246" i="2" s="1"/>
  <c r="Y246" i="2" s="1"/>
  <c r="F246" i="2"/>
  <c r="W245" i="2"/>
  <c r="X245" i="2" s="1"/>
  <c r="F245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W242" i="2"/>
  <c r="X242" i="2" s="1"/>
  <c r="Y242" i="2" s="1"/>
  <c r="F242" i="2"/>
  <c r="W241" i="2"/>
  <c r="W243" i="2" s="1"/>
  <c r="C241" i="2"/>
  <c r="C243" i="2" s="1"/>
  <c r="X240" i="2"/>
  <c r="Y240" i="2" s="1"/>
  <c r="W240" i="2"/>
  <c r="F240" i="2"/>
  <c r="X239" i="2"/>
  <c r="Y239" i="2" s="1"/>
  <c r="W239" i="2"/>
  <c r="F239" i="2"/>
  <c r="X238" i="2"/>
  <c r="W238" i="2"/>
  <c r="F238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W236" i="2" s="1"/>
  <c r="C236" i="2"/>
  <c r="X235" i="2"/>
  <c r="Y235" i="2" s="1"/>
  <c r="W235" i="2"/>
  <c r="F235" i="2"/>
  <c r="X234" i="2"/>
  <c r="Y234" i="2" s="1"/>
  <c r="Y236" i="2" s="1"/>
  <c r="W234" i="2"/>
  <c r="F234" i="2"/>
  <c r="F236" i="2" s="1"/>
  <c r="AC232" i="2"/>
  <c r="AB232" i="2"/>
  <c r="AA232" i="2"/>
  <c r="Z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C232" i="2"/>
  <c r="X231" i="2"/>
  <c r="Y231" i="2" s="1"/>
  <c r="W231" i="2"/>
  <c r="F231" i="2"/>
  <c r="X230" i="2"/>
  <c r="Y230" i="2" s="1"/>
  <c r="W230" i="2"/>
  <c r="F230" i="2"/>
  <c r="X229" i="2"/>
  <c r="Y229" i="2" s="1"/>
  <c r="W229" i="2"/>
  <c r="W232" i="2" s="1"/>
  <c r="F229" i="2"/>
  <c r="F232" i="2" s="1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C227" i="2"/>
  <c r="X226" i="2"/>
  <c r="Y226" i="2" s="1"/>
  <c r="W226" i="2"/>
  <c r="F226" i="2"/>
  <c r="X225" i="2"/>
  <c r="Y225" i="2" s="1"/>
  <c r="W225" i="2"/>
  <c r="F225" i="2"/>
  <c r="X224" i="2"/>
  <c r="Y224" i="2" s="1"/>
  <c r="W224" i="2"/>
  <c r="F224" i="2"/>
  <c r="X223" i="2"/>
  <c r="Y223" i="2" s="1"/>
  <c r="W223" i="2"/>
  <c r="F223" i="2"/>
  <c r="X222" i="2"/>
  <c r="Y222" i="2" s="1"/>
  <c r="W222" i="2"/>
  <c r="F222" i="2"/>
  <c r="X221" i="2"/>
  <c r="Y221" i="2" s="1"/>
  <c r="W221" i="2"/>
  <c r="F221" i="2"/>
  <c r="X220" i="2"/>
  <c r="Y220" i="2" s="1"/>
  <c r="W220" i="2"/>
  <c r="F220" i="2"/>
  <c r="X219" i="2"/>
  <c r="Y219" i="2" s="1"/>
  <c r="W219" i="2"/>
  <c r="W227" i="2" s="1"/>
  <c r="F219" i="2"/>
  <c r="F227" i="2" s="1"/>
  <c r="Z217" i="2"/>
  <c r="V217" i="2"/>
  <c r="U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W216" i="2"/>
  <c r="X216" i="2" s="1"/>
  <c r="Y216" i="2" s="1"/>
  <c r="F216" i="2"/>
  <c r="W215" i="2"/>
  <c r="X215" i="2" s="1"/>
  <c r="Y215" i="2" s="1"/>
  <c r="F215" i="2"/>
  <c r="W214" i="2"/>
  <c r="X214" i="2" s="1"/>
  <c r="Y214" i="2" s="1"/>
  <c r="F214" i="2"/>
  <c r="W213" i="2"/>
  <c r="C213" i="2"/>
  <c r="X213" i="2" s="1"/>
  <c r="Y213" i="2" s="1"/>
  <c r="X212" i="2"/>
  <c r="Y212" i="2" s="1"/>
  <c r="W212" i="2"/>
  <c r="F212" i="2"/>
  <c r="C212" i="2"/>
  <c r="W211" i="2"/>
  <c r="X211" i="2" s="1"/>
  <c r="Y211" i="2" s="1"/>
  <c r="F211" i="2"/>
  <c r="W210" i="2"/>
  <c r="X210" i="2" s="1"/>
  <c r="Y210" i="2" s="1"/>
  <c r="F210" i="2"/>
  <c r="W209" i="2"/>
  <c r="C209" i="2"/>
  <c r="X209" i="2" s="1"/>
  <c r="Y209" i="2" s="1"/>
  <c r="X208" i="2"/>
  <c r="Y208" i="2" s="1"/>
  <c r="W208" i="2"/>
  <c r="F208" i="2"/>
  <c r="C208" i="2"/>
  <c r="W207" i="2"/>
  <c r="C207" i="2"/>
  <c r="X207" i="2" s="1"/>
  <c r="Y207" i="2" s="1"/>
  <c r="W206" i="2"/>
  <c r="F206" i="2"/>
  <c r="X206" i="2" s="1"/>
  <c r="Y206" i="2" s="1"/>
  <c r="X205" i="2"/>
  <c r="Y205" i="2" s="1"/>
  <c r="W205" i="2"/>
  <c r="F205" i="2"/>
  <c r="C205" i="2"/>
  <c r="W204" i="2"/>
  <c r="C204" i="2"/>
  <c r="X204" i="2" s="1"/>
  <c r="Y204" i="2" s="1"/>
  <c r="X203" i="2"/>
  <c r="Y203" i="2" s="1"/>
  <c r="W203" i="2"/>
  <c r="F203" i="2"/>
  <c r="C202" i="2"/>
  <c r="F202" i="2" s="1"/>
  <c r="T202" i="2" s="1"/>
  <c r="X201" i="2"/>
  <c r="Y201" i="2" s="1"/>
  <c r="W201" i="2"/>
  <c r="F201" i="2"/>
  <c r="C201" i="2"/>
  <c r="C217" i="2" s="1"/>
  <c r="W200" i="2"/>
  <c r="X200" i="2" s="1"/>
  <c r="Y200" i="2" s="1"/>
  <c r="F200" i="2"/>
  <c r="W199" i="2"/>
  <c r="X199" i="2" s="1"/>
  <c r="Y199" i="2" s="1"/>
  <c r="F199" i="2"/>
  <c r="W198" i="2"/>
  <c r="X198" i="2" s="1"/>
  <c r="F198" i="2"/>
  <c r="V196" i="2"/>
  <c r="U196" i="2"/>
  <c r="T196" i="2"/>
  <c r="S196" i="2"/>
  <c r="R196" i="2"/>
  <c r="Q196" i="2"/>
  <c r="P196" i="2"/>
  <c r="O196" i="2"/>
  <c r="M196" i="2"/>
  <c r="L196" i="2"/>
  <c r="K196" i="2"/>
  <c r="J196" i="2"/>
  <c r="H196" i="2"/>
  <c r="W195" i="2"/>
  <c r="X195" i="2" s="1"/>
  <c r="Y195" i="2" s="1"/>
  <c r="F195" i="2"/>
  <c r="C194" i="2"/>
  <c r="C196" i="2" s="1"/>
  <c r="W193" i="2"/>
  <c r="F193" i="2"/>
  <c r="X193" i="2" s="1"/>
  <c r="Y193" i="2" s="1"/>
  <c r="W192" i="2"/>
  <c r="F192" i="2"/>
  <c r="X192" i="2" s="1"/>
  <c r="Y192" i="2" s="1"/>
  <c r="W191" i="2"/>
  <c r="F191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C189" i="2"/>
  <c r="X188" i="2"/>
  <c r="Y188" i="2" s="1"/>
  <c r="W188" i="2"/>
  <c r="F188" i="2"/>
  <c r="X187" i="2"/>
  <c r="Y187" i="2" s="1"/>
  <c r="W187" i="2"/>
  <c r="F187" i="2"/>
  <c r="X186" i="2"/>
  <c r="Y186" i="2" s="1"/>
  <c r="W186" i="2"/>
  <c r="F186" i="2"/>
  <c r="X185" i="2"/>
  <c r="Y185" i="2" s="1"/>
  <c r="W185" i="2"/>
  <c r="F185" i="2"/>
  <c r="X184" i="2"/>
  <c r="Y184" i="2" s="1"/>
  <c r="W184" i="2"/>
  <c r="F184" i="2"/>
  <c r="X183" i="2"/>
  <c r="Y183" i="2" s="1"/>
  <c r="W183" i="2"/>
  <c r="F183" i="2"/>
  <c r="X182" i="2"/>
  <c r="Y182" i="2" s="1"/>
  <c r="W182" i="2"/>
  <c r="F182" i="2"/>
  <c r="X181" i="2"/>
  <c r="Y181" i="2" s="1"/>
  <c r="W181" i="2"/>
  <c r="W189" i="2" s="1"/>
  <c r="F181" i="2"/>
  <c r="V179" i="2"/>
  <c r="U179" i="2"/>
  <c r="T179" i="2"/>
  <c r="S179" i="2"/>
  <c r="R179" i="2"/>
  <c r="Q179" i="2"/>
  <c r="P179" i="2"/>
  <c r="O179" i="2"/>
  <c r="M179" i="2"/>
  <c r="L179" i="2"/>
  <c r="K179" i="2"/>
  <c r="J179" i="2"/>
  <c r="H179" i="2"/>
  <c r="C179" i="2"/>
  <c r="X178" i="2"/>
  <c r="Y178" i="2" s="1"/>
  <c r="W178" i="2"/>
  <c r="F178" i="2"/>
  <c r="N177" i="2"/>
  <c r="N179" i="2" s="1"/>
  <c r="F177" i="2"/>
  <c r="V175" i="2"/>
  <c r="U175" i="2"/>
  <c r="T175" i="2"/>
  <c r="R175" i="2"/>
  <c r="P175" i="2"/>
  <c r="O175" i="2"/>
  <c r="M175" i="2"/>
  <c r="L175" i="2"/>
  <c r="K175" i="2"/>
  <c r="J175" i="2"/>
  <c r="H175" i="2"/>
  <c r="C175" i="2"/>
  <c r="F174" i="2"/>
  <c r="I174" i="2" s="1"/>
  <c r="N173" i="2"/>
  <c r="F173" i="2"/>
  <c r="I173" i="2" s="1"/>
  <c r="F172" i="2"/>
  <c r="I172" i="2" s="1"/>
  <c r="S171" i="2"/>
  <c r="S175" i="2" s="1"/>
  <c r="Q171" i="2"/>
  <c r="Q175" i="2" s="1"/>
  <c r="N171" i="2"/>
  <c r="F171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W169" i="2" s="1"/>
  <c r="C169" i="2"/>
  <c r="X168" i="2"/>
  <c r="Y168" i="2" s="1"/>
  <c r="W168" i="2"/>
  <c r="F168" i="2"/>
  <c r="X167" i="2"/>
  <c r="Y167" i="2" s="1"/>
  <c r="W167" i="2"/>
  <c r="F167" i="2"/>
  <c r="X166" i="2"/>
  <c r="Y166" i="2" s="1"/>
  <c r="W166" i="2"/>
  <c r="F166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W164" i="2" s="1"/>
  <c r="C164" i="2"/>
  <c r="X163" i="2"/>
  <c r="Y163" i="2" s="1"/>
  <c r="W163" i="2"/>
  <c r="F163" i="2"/>
  <c r="X162" i="2"/>
  <c r="Y162" i="2" s="1"/>
  <c r="W162" i="2"/>
  <c r="F162" i="2"/>
  <c r="X161" i="2"/>
  <c r="Y161" i="2" s="1"/>
  <c r="W161" i="2"/>
  <c r="F161" i="2"/>
  <c r="C161" i="2"/>
  <c r="W160" i="2"/>
  <c r="C160" i="2"/>
  <c r="X159" i="2"/>
  <c r="Y159" i="2" s="1"/>
  <c r="W159" i="2"/>
  <c r="F159" i="2"/>
  <c r="X158" i="2"/>
  <c r="Y158" i="2" s="1"/>
  <c r="W158" i="2"/>
  <c r="F158" i="2"/>
  <c r="C158" i="2"/>
  <c r="W157" i="2"/>
  <c r="X157" i="2" s="1"/>
  <c r="Y157" i="2" s="1"/>
  <c r="F157" i="2"/>
  <c r="Y156" i="2"/>
  <c r="W156" i="2"/>
  <c r="X156" i="2" s="1"/>
  <c r="F156" i="2"/>
  <c r="W155" i="2"/>
  <c r="X155" i="2" s="1"/>
  <c r="Y155" i="2" s="1"/>
  <c r="F155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W153" i="2" s="1"/>
  <c r="H153" i="2"/>
  <c r="Y152" i="2"/>
  <c r="W152" i="2"/>
  <c r="X152" i="2" s="1"/>
  <c r="F152" i="2"/>
  <c r="W151" i="2"/>
  <c r="C151" i="2"/>
  <c r="X150" i="2"/>
  <c r="Y150" i="2" s="1"/>
  <c r="W150" i="2"/>
  <c r="F150" i="2"/>
  <c r="X149" i="2"/>
  <c r="W149" i="2"/>
  <c r="F149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W147" i="2" s="1"/>
  <c r="C147" i="2"/>
  <c r="X146" i="2"/>
  <c r="Y146" i="2" s="1"/>
  <c r="W146" i="2"/>
  <c r="F146" i="2"/>
  <c r="X145" i="2"/>
  <c r="Y145" i="2" s="1"/>
  <c r="W145" i="2"/>
  <c r="F145" i="2"/>
  <c r="C145" i="2"/>
  <c r="Y144" i="2"/>
  <c r="Y147" i="2" s="1"/>
  <c r="W144" i="2"/>
  <c r="X144" i="2" s="1"/>
  <c r="F144" i="2"/>
  <c r="F147" i="2" s="1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W142" i="2" s="1"/>
  <c r="H142" i="2"/>
  <c r="W141" i="2"/>
  <c r="F141" i="2"/>
  <c r="W140" i="2"/>
  <c r="F140" i="2"/>
  <c r="X140" i="2" s="1"/>
  <c r="Y140" i="2" s="1"/>
  <c r="W139" i="2"/>
  <c r="F139" i="2"/>
  <c r="W138" i="2"/>
  <c r="F138" i="2"/>
  <c r="X138" i="2" s="1"/>
  <c r="Y138" i="2" s="1"/>
  <c r="W137" i="2"/>
  <c r="C137" i="2"/>
  <c r="W136" i="2"/>
  <c r="F136" i="2"/>
  <c r="W135" i="2"/>
  <c r="F135" i="2"/>
  <c r="X135" i="2" s="1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C133" i="2"/>
  <c r="X132" i="2"/>
  <c r="Y132" i="2" s="1"/>
  <c r="W132" i="2"/>
  <c r="F132" i="2"/>
  <c r="W131" i="2"/>
  <c r="F131" i="2"/>
  <c r="X131" i="2" s="1"/>
  <c r="Y131" i="2" s="1"/>
  <c r="C131" i="2"/>
  <c r="W130" i="2"/>
  <c r="F130" i="2"/>
  <c r="X130" i="2" s="1"/>
  <c r="Y130" i="2" s="1"/>
  <c r="W129" i="2"/>
  <c r="F129" i="2"/>
  <c r="W128" i="2"/>
  <c r="F128" i="2"/>
  <c r="F133" i="2" s="1"/>
  <c r="AC126" i="2"/>
  <c r="AB126" i="2"/>
  <c r="AA126" i="2"/>
  <c r="Z126" i="2"/>
  <c r="V126" i="2"/>
  <c r="U126" i="2"/>
  <c r="T126" i="2"/>
  <c r="S126" i="2"/>
  <c r="R126" i="2"/>
  <c r="Q126" i="2"/>
  <c r="P126" i="2"/>
  <c r="O126" i="2"/>
  <c r="M126" i="2"/>
  <c r="L126" i="2"/>
  <c r="K126" i="2"/>
  <c r="J126" i="2"/>
  <c r="H126" i="2"/>
  <c r="W125" i="2"/>
  <c r="F125" i="2"/>
  <c r="X125" i="2" s="1"/>
  <c r="Y125" i="2" s="1"/>
  <c r="W124" i="2"/>
  <c r="F124" i="2"/>
  <c r="I123" i="2"/>
  <c r="I126" i="2" s="1"/>
  <c r="F123" i="2"/>
  <c r="N123" i="2" s="1"/>
  <c r="N126" i="2" s="1"/>
  <c r="W122" i="2"/>
  <c r="C122" i="2"/>
  <c r="F122" i="2" s="1"/>
  <c r="X122" i="2" s="1"/>
  <c r="Y122" i="2" s="1"/>
  <c r="W121" i="2"/>
  <c r="F121" i="2"/>
  <c r="X121" i="2" s="1"/>
  <c r="Y121" i="2" s="1"/>
  <c r="W120" i="2"/>
  <c r="F120" i="2"/>
  <c r="X120" i="2" s="1"/>
  <c r="Y120" i="2" s="1"/>
  <c r="C120" i="2"/>
  <c r="W119" i="2"/>
  <c r="C119" i="2"/>
  <c r="F119" i="2" s="1"/>
  <c r="X119" i="2" s="1"/>
  <c r="Y119" i="2" s="1"/>
  <c r="W118" i="2"/>
  <c r="F118" i="2"/>
  <c r="X118" i="2" s="1"/>
  <c r="Y118" i="2" s="1"/>
  <c r="C118" i="2"/>
  <c r="W117" i="2"/>
  <c r="F117" i="2"/>
  <c r="W116" i="2"/>
  <c r="C116" i="2"/>
  <c r="V114" i="2"/>
  <c r="U114" i="2"/>
  <c r="T114" i="2"/>
  <c r="R114" i="2"/>
  <c r="P114" i="2"/>
  <c r="O114" i="2"/>
  <c r="M114" i="2"/>
  <c r="L114" i="2"/>
  <c r="K114" i="2"/>
  <c r="J114" i="2"/>
  <c r="H114" i="2"/>
  <c r="C114" i="2"/>
  <c r="W113" i="2"/>
  <c r="F113" i="2"/>
  <c r="X113" i="2" s="1"/>
  <c r="Y113" i="2" s="1"/>
  <c r="C113" i="2"/>
  <c r="W112" i="2"/>
  <c r="C112" i="2"/>
  <c r="F112" i="2" s="1"/>
  <c r="F111" i="2"/>
  <c r="I111" i="2" s="1"/>
  <c r="C111" i="2"/>
  <c r="I110" i="2"/>
  <c r="F110" i="2"/>
  <c r="I109" i="2"/>
  <c r="F109" i="2"/>
  <c r="I108" i="2"/>
  <c r="C108" i="2"/>
  <c r="F108" i="2" s="1"/>
  <c r="W107" i="2"/>
  <c r="F107" i="2"/>
  <c r="X107" i="2" s="1"/>
  <c r="Y107" i="2" s="1"/>
  <c r="S106" i="2"/>
  <c r="Q106" i="2"/>
  <c r="Q114" i="2" s="1"/>
  <c r="N106" i="2"/>
  <c r="F106" i="2"/>
  <c r="I106" i="2" s="1"/>
  <c r="S105" i="2"/>
  <c r="I105" i="2"/>
  <c r="F105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W102" i="2"/>
  <c r="W103" i="2" s="1"/>
  <c r="C102" i="2"/>
  <c r="X101" i="2"/>
  <c r="Y101" i="2" s="1"/>
  <c r="W101" i="2"/>
  <c r="F101" i="2"/>
  <c r="X100" i="2"/>
  <c r="W100" i="2"/>
  <c r="F100" i="2"/>
  <c r="V98" i="2"/>
  <c r="U98" i="2"/>
  <c r="T98" i="2"/>
  <c r="S98" i="2"/>
  <c r="R98" i="2"/>
  <c r="Q98" i="2"/>
  <c r="P98" i="2"/>
  <c r="O98" i="2"/>
  <c r="M98" i="2"/>
  <c r="L98" i="2"/>
  <c r="K98" i="2"/>
  <c r="J98" i="2"/>
  <c r="H98" i="2"/>
  <c r="C98" i="2"/>
  <c r="X97" i="2"/>
  <c r="Y97" i="2" s="1"/>
  <c r="W97" i="2"/>
  <c r="F97" i="2"/>
  <c r="X96" i="2"/>
  <c r="Y96" i="2" s="1"/>
  <c r="W96" i="2"/>
  <c r="F96" i="2"/>
  <c r="X95" i="2"/>
  <c r="Y95" i="2" s="1"/>
  <c r="W95" i="2"/>
  <c r="F95" i="2"/>
  <c r="F94" i="2"/>
  <c r="V92" i="2"/>
  <c r="U92" i="2"/>
  <c r="T92" i="2"/>
  <c r="S92" i="2"/>
  <c r="R92" i="2"/>
  <c r="Q92" i="2"/>
  <c r="P92" i="2"/>
  <c r="O92" i="2"/>
  <c r="M92" i="2"/>
  <c r="L92" i="2"/>
  <c r="K92" i="2"/>
  <c r="J92" i="2"/>
  <c r="H92" i="2"/>
  <c r="N91" i="2"/>
  <c r="F91" i="2"/>
  <c r="I91" i="2" s="1"/>
  <c r="C91" i="2"/>
  <c r="I90" i="2"/>
  <c r="F90" i="2"/>
  <c r="C89" i="2"/>
  <c r="F89" i="2" s="1"/>
  <c r="N88" i="2"/>
  <c r="F88" i="2"/>
  <c r="V86" i="2"/>
  <c r="U86" i="2"/>
  <c r="T86" i="2"/>
  <c r="S86" i="2"/>
  <c r="R86" i="2"/>
  <c r="Q86" i="2"/>
  <c r="P86" i="2"/>
  <c r="O86" i="2"/>
  <c r="M86" i="2"/>
  <c r="L86" i="2"/>
  <c r="K86" i="2"/>
  <c r="J86" i="2"/>
  <c r="H86" i="2"/>
  <c r="C86" i="2"/>
  <c r="W85" i="2"/>
  <c r="F85" i="2"/>
  <c r="X85" i="2" s="1"/>
  <c r="Y85" i="2" s="1"/>
  <c r="N84" i="2"/>
  <c r="F84" i="2"/>
  <c r="I84" i="2" s="1"/>
  <c r="F83" i="2"/>
  <c r="I83" i="2" s="1"/>
  <c r="W82" i="2"/>
  <c r="F82" i="2"/>
  <c r="X82" i="2" s="1"/>
  <c r="Y82" i="2" s="1"/>
  <c r="C82" i="2"/>
  <c r="I81" i="2"/>
  <c r="F81" i="2"/>
  <c r="F86" i="2" s="1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W79" i="2" s="1"/>
  <c r="H79" i="2"/>
  <c r="F79" i="2"/>
  <c r="C79" i="2"/>
  <c r="W78" i="2"/>
  <c r="F78" i="2"/>
  <c r="X78" i="2" s="1"/>
  <c r="Y78" i="2" s="1"/>
  <c r="W77" i="2"/>
  <c r="F77" i="2"/>
  <c r="W76" i="2"/>
  <c r="F76" i="2"/>
  <c r="X76" i="2" s="1"/>
  <c r="W74" i="2"/>
  <c r="C74" i="2"/>
  <c r="W73" i="2"/>
  <c r="F73" i="2"/>
  <c r="X73" i="2" s="1"/>
  <c r="Y73" i="2" s="1"/>
  <c r="C73" i="2"/>
  <c r="W72" i="2"/>
  <c r="F72" i="2"/>
  <c r="X72" i="2" s="1"/>
  <c r="Y72" i="2" s="1"/>
  <c r="W71" i="2"/>
  <c r="F71" i="2"/>
  <c r="W70" i="2"/>
  <c r="F70" i="2"/>
  <c r="X70" i="2" s="1"/>
  <c r="Y70" i="2" s="1"/>
  <c r="W69" i="2"/>
  <c r="F69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F67" i="2"/>
  <c r="C67" i="2"/>
  <c r="W66" i="2"/>
  <c r="X66" i="2" s="1"/>
  <c r="Y66" i="2" s="1"/>
  <c r="F66" i="2"/>
  <c r="Y65" i="2"/>
  <c r="Y67" i="2" s="1"/>
  <c r="W65" i="2"/>
  <c r="X65" i="2" s="1"/>
  <c r="F65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W62" i="2" s="1"/>
  <c r="H62" i="2"/>
  <c r="W61" i="2"/>
  <c r="F61" i="2"/>
  <c r="W60" i="2"/>
  <c r="C60" i="2"/>
  <c r="F60" i="2" s="1"/>
  <c r="X60" i="2" s="1"/>
  <c r="Y60" i="2" s="1"/>
  <c r="W59" i="2"/>
  <c r="F59" i="2"/>
  <c r="X59" i="2" s="1"/>
  <c r="Y59" i="2" s="1"/>
  <c r="C59" i="2"/>
  <c r="W58" i="2"/>
  <c r="F58" i="2"/>
  <c r="W57" i="2"/>
  <c r="C57" i="2"/>
  <c r="F57" i="2" s="1"/>
  <c r="X57" i="2" s="1"/>
  <c r="Y57" i="2" s="1"/>
  <c r="W56" i="2"/>
  <c r="F56" i="2"/>
  <c r="X56" i="2" s="1"/>
  <c r="Y56" i="2" s="1"/>
  <c r="C56" i="2"/>
  <c r="W55" i="2"/>
  <c r="F55" i="2"/>
  <c r="W54" i="2"/>
  <c r="C54" i="2"/>
  <c r="V52" i="2"/>
  <c r="U52" i="2"/>
  <c r="T52" i="2"/>
  <c r="R52" i="2"/>
  <c r="Q52" i="2"/>
  <c r="P52" i="2"/>
  <c r="O52" i="2"/>
  <c r="M52" i="2"/>
  <c r="L52" i="2"/>
  <c r="K52" i="2"/>
  <c r="J52" i="2"/>
  <c r="H52" i="2"/>
  <c r="W51" i="2"/>
  <c r="F51" i="2"/>
  <c r="X51" i="2" s="1"/>
  <c r="Y51" i="2" s="1"/>
  <c r="W50" i="2"/>
  <c r="F50" i="2"/>
  <c r="X50" i="2" s="1"/>
  <c r="Y50" i="2" s="1"/>
  <c r="C50" i="2"/>
  <c r="W49" i="2"/>
  <c r="C49" i="2"/>
  <c r="F49" i="2" s="1"/>
  <c r="W48" i="2"/>
  <c r="F48" i="2"/>
  <c r="X48" i="2" s="1"/>
  <c r="Y48" i="2" s="1"/>
  <c r="C48" i="2"/>
  <c r="S47" i="2"/>
  <c r="F47" i="2"/>
  <c r="C47" i="2"/>
  <c r="W46" i="2"/>
  <c r="C46" i="2"/>
  <c r="F46" i="2" s="1"/>
  <c r="X46" i="2" s="1"/>
  <c r="Y46" i="2" s="1"/>
  <c r="W45" i="2"/>
  <c r="F45" i="2"/>
  <c r="X45" i="2" s="1"/>
  <c r="Y45" i="2" s="1"/>
  <c r="C45" i="2"/>
  <c r="W44" i="2"/>
  <c r="C44" i="2"/>
  <c r="F44" i="2" s="1"/>
  <c r="W43" i="2"/>
  <c r="F43" i="2"/>
  <c r="X43" i="2" s="1"/>
  <c r="Y43" i="2" s="1"/>
  <c r="C43" i="2"/>
  <c r="W42" i="2"/>
  <c r="C42" i="2"/>
  <c r="F42" i="2" s="1"/>
  <c r="X42" i="2" s="1"/>
  <c r="Y42" i="2" s="1"/>
  <c r="W41" i="2"/>
  <c r="F41" i="2"/>
  <c r="X41" i="2" s="1"/>
  <c r="Y41" i="2" s="1"/>
  <c r="C41" i="2"/>
  <c r="S40" i="2"/>
  <c r="S52" i="2" s="1"/>
  <c r="N40" i="2"/>
  <c r="F40" i="2"/>
  <c r="C40" i="2"/>
  <c r="V37" i="2"/>
  <c r="U37" i="2"/>
  <c r="T37" i="2"/>
  <c r="O37" i="2"/>
  <c r="M37" i="2"/>
  <c r="K37" i="2"/>
  <c r="J37" i="2"/>
  <c r="I37" i="2"/>
  <c r="H37" i="2"/>
  <c r="G37" i="2"/>
  <c r="L36" i="2"/>
  <c r="F36" i="2"/>
  <c r="N36" i="2" s="1"/>
  <c r="C36" i="2"/>
  <c r="O35" i="2"/>
  <c r="L35" i="2"/>
  <c r="F35" i="2"/>
  <c r="C35" i="2"/>
  <c r="S34" i="2"/>
  <c r="N34" i="2"/>
  <c r="W34" i="2" s="1"/>
  <c r="F34" i="2"/>
  <c r="S33" i="2"/>
  <c r="L33" i="2"/>
  <c r="F33" i="2"/>
  <c r="C33" i="2"/>
  <c r="U32" i="2"/>
  <c r="S32" i="2"/>
  <c r="R32" i="2"/>
  <c r="Q32" i="2"/>
  <c r="O32" i="2"/>
  <c r="L32" i="2"/>
  <c r="F32" i="2"/>
  <c r="C32" i="2"/>
  <c r="R31" i="2"/>
  <c r="Q31" i="2"/>
  <c r="F31" i="2"/>
  <c r="S30" i="2"/>
  <c r="R30" i="2"/>
  <c r="Q30" i="2"/>
  <c r="Q37" i="2" s="1"/>
  <c r="F30" i="2"/>
  <c r="N30" i="2" s="1"/>
  <c r="W30" i="2" s="1"/>
  <c r="C30" i="2"/>
  <c r="S29" i="2"/>
  <c r="R29" i="2"/>
  <c r="Q29" i="2"/>
  <c r="P29" i="2"/>
  <c r="O29" i="2"/>
  <c r="L29" i="2"/>
  <c r="L37" i="2" s="1"/>
  <c r="K29" i="2"/>
  <c r="C29" i="2"/>
  <c r="F29" i="2" s="1"/>
  <c r="S28" i="2"/>
  <c r="S37" i="2" s="1"/>
  <c r="R28" i="2"/>
  <c r="R37" i="2" s="1"/>
  <c r="P28" i="2"/>
  <c r="P37" i="2" s="1"/>
  <c r="K28" i="2"/>
  <c r="F28" i="2"/>
  <c r="F37" i="2" s="1"/>
  <c r="V25" i="2"/>
  <c r="U25" i="2"/>
  <c r="T25" i="2"/>
  <c r="O25" i="2"/>
  <c r="M25" i="2"/>
  <c r="L25" i="2"/>
  <c r="J25" i="2"/>
  <c r="I25" i="2"/>
  <c r="H25" i="2"/>
  <c r="C25" i="2"/>
  <c r="S24" i="2"/>
  <c r="S25" i="2" s="1"/>
  <c r="R24" i="2"/>
  <c r="Q24" i="2"/>
  <c r="Q25" i="2" s="1"/>
  <c r="P24" i="2"/>
  <c r="N24" i="2"/>
  <c r="W24" i="2" s="1"/>
  <c r="X24" i="2" s="1"/>
  <c r="Y24" i="2" s="1"/>
  <c r="F24" i="2"/>
  <c r="S23" i="2"/>
  <c r="R23" i="2"/>
  <c r="Q23" i="2"/>
  <c r="P23" i="2"/>
  <c r="N23" i="2"/>
  <c r="K23" i="2"/>
  <c r="K25" i="2" s="1"/>
  <c r="F23" i="2"/>
  <c r="R22" i="2"/>
  <c r="R25" i="2" s="1"/>
  <c r="P22" i="2"/>
  <c r="P25" i="2" s="1"/>
  <c r="N22" i="2"/>
  <c r="G22" i="2"/>
  <c r="G25" i="2" s="1"/>
  <c r="F22" i="2"/>
  <c r="F25" i="2" s="1"/>
  <c r="T37" i="1"/>
  <c r="T35" i="1"/>
  <c r="S34" i="1"/>
  <c r="T34" i="1" s="1"/>
  <c r="O33" i="1"/>
  <c r="O38" i="1" s="1"/>
  <c r="H33" i="1"/>
  <c r="H38" i="1" s="1"/>
  <c r="G33" i="1"/>
  <c r="G38" i="1" s="1"/>
  <c r="R32" i="1"/>
  <c r="S32" i="1" s="1"/>
  <c r="C32" i="1"/>
  <c r="R31" i="1"/>
  <c r="S31" i="1" s="1"/>
  <c r="T31" i="1" s="1"/>
  <c r="N30" i="1"/>
  <c r="R30" i="1" s="1"/>
  <c r="S30" i="1" s="1"/>
  <c r="T30" i="1" s="1"/>
  <c r="C30" i="1"/>
  <c r="R29" i="1"/>
  <c r="S29" i="1" s="1"/>
  <c r="T29" i="1" s="1"/>
  <c r="N28" i="1"/>
  <c r="M28" i="1"/>
  <c r="I28" i="1"/>
  <c r="R28" i="1" s="1"/>
  <c r="S28" i="1" s="1"/>
  <c r="T28" i="1" s="1"/>
  <c r="D28" i="1"/>
  <c r="C28" i="1"/>
  <c r="Q27" i="1"/>
  <c r="Q33" i="1" s="1"/>
  <c r="Q38" i="1" s="1"/>
  <c r="P27" i="1"/>
  <c r="P33" i="1" s="1"/>
  <c r="P38" i="1" s="1"/>
  <c r="N27" i="1"/>
  <c r="M27" i="1"/>
  <c r="L27" i="1"/>
  <c r="L33" i="1" s="1"/>
  <c r="L38" i="1" s="1"/>
  <c r="K27" i="1"/>
  <c r="K33" i="1" s="1"/>
  <c r="K38" i="1" s="1"/>
  <c r="J27" i="1"/>
  <c r="I27" i="1"/>
  <c r="F27" i="1"/>
  <c r="R27" i="1" s="1"/>
  <c r="S27" i="1" s="1"/>
  <c r="T27" i="1" s="1"/>
  <c r="D27" i="1"/>
  <c r="C27" i="1"/>
  <c r="N26" i="1"/>
  <c r="M26" i="1"/>
  <c r="I26" i="1"/>
  <c r="F26" i="1"/>
  <c r="R26" i="1" s="1"/>
  <c r="S26" i="1" s="1"/>
  <c r="T26" i="1" s="1"/>
  <c r="D26" i="1"/>
  <c r="C26" i="1"/>
  <c r="N25" i="1"/>
  <c r="N33" i="1" s="1"/>
  <c r="N38" i="1" s="1"/>
  <c r="M25" i="1"/>
  <c r="M33" i="1" s="1"/>
  <c r="M38" i="1" s="1"/>
  <c r="J25" i="1"/>
  <c r="J33" i="1" s="1"/>
  <c r="J38" i="1" s="1"/>
  <c r="I25" i="1"/>
  <c r="I33" i="1" s="1"/>
  <c r="I38" i="1" s="1"/>
  <c r="F25" i="1"/>
  <c r="F33" i="1" s="1"/>
  <c r="F38" i="1" s="1"/>
  <c r="E25" i="1"/>
  <c r="E33" i="1" s="1"/>
  <c r="E38" i="1" s="1"/>
  <c r="D25" i="1"/>
  <c r="D33" i="1" s="1"/>
  <c r="D38" i="1" s="1"/>
  <c r="C25" i="1"/>
  <c r="C33" i="1" s="1"/>
  <c r="C38" i="1" s="1"/>
  <c r="T22" i="1"/>
  <c r="T21" i="1"/>
  <c r="T20" i="1"/>
  <c r="T19" i="1"/>
  <c r="O18" i="1"/>
  <c r="O23" i="1" s="1"/>
  <c r="L18" i="1"/>
  <c r="L23" i="1" s="1"/>
  <c r="J18" i="1"/>
  <c r="J23" i="1" s="1"/>
  <c r="H18" i="1"/>
  <c r="H23" i="1" s="1"/>
  <c r="G18" i="1"/>
  <c r="G23" i="1" s="1"/>
  <c r="Q17" i="1"/>
  <c r="R17" i="1" s="1"/>
  <c r="S17" i="1" s="1"/>
  <c r="T17" i="1" s="1"/>
  <c r="N16" i="1"/>
  <c r="M16" i="1"/>
  <c r="I16" i="1"/>
  <c r="R16" i="1" s="1"/>
  <c r="S16" i="1" s="1"/>
  <c r="T16" i="1" s="1"/>
  <c r="R15" i="1"/>
  <c r="S15" i="1" s="1"/>
  <c r="T15" i="1" s="1"/>
  <c r="R14" i="1"/>
  <c r="S14" i="1" s="1"/>
  <c r="T14" i="1" s="1"/>
  <c r="R13" i="1"/>
  <c r="S13" i="1" s="1"/>
  <c r="T13" i="1" s="1"/>
  <c r="Q12" i="1"/>
  <c r="Q18" i="1" s="1"/>
  <c r="Q23" i="1" s="1"/>
  <c r="P12" i="1"/>
  <c r="P18" i="1" s="1"/>
  <c r="P23" i="1" s="1"/>
  <c r="N12" i="1"/>
  <c r="M12" i="1"/>
  <c r="K12" i="1"/>
  <c r="K18" i="1" s="1"/>
  <c r="K23" i="1" s="1"/>
  <c r="I12" i="1"/>
  <c r="F12" i="1"/>
  <c r="R12" i="1" s="1"/>
  <c r="S12" i="1" s="1"/>
  <c r="T12" i="1" s="1"/>
  <c r="D12" i="1"/>
  <c r="C12" i="1"/>
  <c r="N11" i="1"/>
  <c r="M11" i="1"/>
  <c r="I11" i="1"/>
  <c r="R11" i="1" s="1"/>
  <c r="S11" i="1" s="1"/>
  <c r="T11" i="1" s="1"/>
  <c r="D11" i="1"/>
  <c r="C11" i="1"/>
  <c r="N10" i="1"/>
  <c r="N18" i="1" s="1"/>
  <c r="N23" i="1" s="1"/>
  <c r="M10" i="1"/>
  <c r="M18" i="1" s="1"/>
  <c r="M23" i="1" s="1"/>
  <c r="I10" i="1"/>
  <c r="I18" i="1" s="1"/>
  <c r="I23" i="1" s="1"/>
  <c r="F10" i="1"/>
  <c r="F18" i="1" s="1"/>
  <c r="F23" i="1" s="1"/>
  <c r="E10" i="1"/>
  <c r="E18" i="1" s="1"/>
  <c r="E23" i="1" s="1"/>
  <c r="D10" i="1"/>
  <c r="D18" i="1" s="1"/>
  <c r="D23" i="1" s="1"/>
  <c r="C10" i="1"/>
  <c r="C18" i="1" s="1"/>
  <c r="C23" i="1" s="1"/>
  <c r="F103" i="2" l="1"/>
  <c r="Y135" i="2"/>
  <c r="F153" i="2"/>
  <c r="W22" i="2"/>
  <c r="X30" i="2"/>
  <c r="Y30" i="2" s="1"/>
  <c r="X33" i="2"/>
  <c r="Y33" i="2" s="1"/>
  <c r="N33" i="2"/>
  <c r="W33" i="2" s="1"/>
  <c r="X34" i="2"/>
  <c r="Y34" i="2" s="1"/>
  <c r="N35" i="2"/>
  <c r="W35" i="2" s="1"/>
  <c r="X35" i="2" s="1"/>
  <c r="Y35" i="2" s="1"/>
  <c r="W36" i="2"/>
  <c r="X36" i="2" s="1"/>
  <c r="Y36" i="2" s="1"/>
  <c r="I47" i="2"/>
  <c r="C62" i="2"/>
  <c r="F54" i="2"/>
  <c r="Y76" i="2"/>
  <c r="N89" i="2"/>
  <c r="N92" i="2" s="1"/>
  <c r="C92" i="2"/>
  <c r="F98" i="2"/>
  <c r="I94" i="2"/>
  <c r="Y100" i="2"/>
  <c r="C103" i="2"/>
  <c r="X102" i="2"/>
  <c r="Y102" i="2" s="1"/>
  <c r="F102" i="2"/>
  <c r="I114" i="2"/>
  <c r="C126" i="2"/>
  <c r="F116" i="2"/>
  <c r="X136" i="2"/>
  <c r="Y136" i="2" s="1"/>
  <c r="X147" i="2"/>
  <c r="X164" i="2"/>
  <c r="X169" i="2"/>
  <c r="W172" i="2"/>
  <c r="X172" i="2" s="1"/>
  <c r="Y172" i="2" s="1"/>
  <c r="F196" i="2"/>
  <c r="X191" i="2"/>
  <c r="T217" i="2"/>
  <c r="W202" i="2"/>
  <c r="F243" i="2"/>
  <c r="J414" i="2"/>
  <c r="J415" i="2" s="1"/>
  <c r="J420" i="2" s="1"/>
  <c r="Q414" i="2"/>
  <c r="Q415" i="2" s="1"/>
  <c r="Q420" i="2" s="1"/>
  <c r="N25" i="2"/>
  <c r="W23" i="2"/>
  <c r="X23" i="2" s="1"/>
  <c r="Y23" i="2" s="1"/>
  <c r="N29" i="2"/>
  <c r="W29" i="2" s="1"/>
  <c r="X29" i="2" s="1"/>
  <c r="Y29" i="2" s="1"/>
  <c r="N31" i="2"/>
  <c r="W31" i="2" s="1"/>
  <c r="X31" i="2" s="1"/>
  <c r="Y31" i="2" s="1"/>
  <c r="N32" i="2"/>
  <c r="W32" i="2" s="1"/>
  <c r="X32" i="2" s="1"/>
  <c r="Y32" i="2" s="1"/>
  <c r="C37" i="2"/>
  <c r="F52" i="2"/>
  <c r="I40" i="2"/>
  <c r="X44" i="2"/>
  <c r="Y44" i="2" s="1"/>
  <c r="N47" i="2"/>
  <c r="N52" i="2" s="1"/>
  <c r="X49" i="2"/>
  <c r="Y49" i="2" s="1"/>
  <c r="C52" i="2"/>
  <c r="X55" i="2"/>
  <c r="Y55" i="2" s="1"/>
  <c r="X58" i="2"/>
  <c r="Y58" i="2" s="1"/>
  <c r="X61" i="2"/>
  <c r="Y61" i="2" s="1"/>
  <c r="X67" i="2"/>
  <c r="W67" i="2"/>
  <c r="F74" i="2"/>
  <c r="X71" i="2"/>
  <c r="Y71" i="2" s="1"/>
  <c r="X77" i="2"/>
  <c r="Y77" i="2" s="1"/>
  <c r="I86" i="2"/>
  <c r="N83" i="2"/>
  <c r="W83" i="2" s="1"/>
  <c r="X83" i="2" s="1"/>
  <c r="Y83" i="2" s="1"/>
  <c r="W84" i="2"/>
  <c r="X84" i="2"/>
  <c r="Y84" i="2" s="1"/>
  <c r="F92" i="2"/>
  <c r="I88" i="2"/>
  <c r="I89" i="2"/>
  <c r="W89" i="2" s="1"/>
  <c r="X89" i="2" s="1"/>
  <c r="Y89" i="2" s="1"/>
  <c r="W91" i="2"/>
  <c r="X91" i="2"/>
  <c r="Y91" i="2" s="1"/>
  <c r="N94" i="2"/>
  <c r="N98" i="2" s="1"/>
  <c r="F114" i="2"/>
  <c r="S114" i="2"/>
  <c r="W106" i="2"/>
  <c r="X106" i="2" s="1"/>
  <c r="Y106" i="2" s="1"/>
  <c r="N108" i="2"/>
  <c r="W108" i="2" s="1"/>
  <c r="X108" i="2" s="1"/>
  <c r="Y108" i="2" s="1"/>
  <c r="N111" i="2"/>
  <c r="W111" i="2" s="1"/>
  <c r="X111" i="2" s="1"/>
  <c r="Y111" i="2" s="1"/>
  <c r="X112" i="2"/>
  <c r="Y112" i="2" s="1"/>
  <c r="X117" i="2"/>
  <c r="Y117" i="2" s="1"/>
  <c r="W123" i="2"/>
  <c r="X123" i="2" s="1"/>
  <c r="Y123" i="2" s="1"/>
  <c r="X124" i="2"/>
  <c r="Y124" i="2" s="1"/>
  <c r="W133" i="2"/>
  <c r="X129" i="2"/>
  <c r="Y129" i="2" s="1"/>
  <c r="C142" i="2"/>
  <c r="F137" i="2"/>
  <c r="X137" i="2" s="1"/>
  <c r="Y137" i="2" s="1"/>
  <c r="X139" i="2"/>
  <c r="Y139" i="2" s="1"/>
  <c r="X141" i="2"/>
  <c r="Y141" i="2" s="1"/>
  <c r="Y149" i="2"/>
  <c r="C153" i="2"/>
  <c r="X151" i="2"/>
  <c r="Y151" i="2" s="1"/>
  <c r="F151" i="2"/>
  <c r="X160" i="2"/>
  <c r="Y160" i="2" s="1"/>
  <c r="Y164" i="2" s="1"/>
  <c r="F160" i="2"/>
  <c r="F164" i="2" s="1"/>
  <c r="F169" i="2"/>
  <c r="Y169" i="2"/>
  <c r="F175" i="2"/>
  <c r="I171" i="2"/>
  <c r="N172" i="2"/>
  <c r="N175" i="2" s="1"/>
  <c r="W173" i="2"/>
  <c r="X173" i="2" s="1"/>
  <c r="Y173" i="2" s="1"/>
  <c r="N174" i="2"/>
  <c r="W174" i="2" s="1"/>
  <c r="X174" i="2" s="1"/>
  <c r="Y174" i="2" s="1"/>
  <c r="F179" i="2"/>
  <c r="I177" i="2"/>
  <c r="F189" i="2"/>
  <c r="Y189" i="2"/>
  <c r="X189" i="2"/>
  <c r="Y198" i="2"/>
  <c r="Y217" i="2" s="1"/>
  <c r="Y227" i="2"/>
  <c r="Y232" i="2"/>
  <c r="X249" i="2"/>
  <c r="Y245" i="2"/>
  <c r="Y249" i="2" s="1"/>
  <c r="U414" i="2"/>
  <c r="U415" i="2" s="1"/>
  <c r="U420" i="2" s="1"/>
  <c r="M414" i="2"/>
  <c r="M415" i="2" s="1"/>
  <c r="M420" i="2" s="1"/>
  <c r="O824" i="2"/>
  <c r="X202" i="2"/>
  <c r="Y202" i="2" s="1"/>
  <c r="W217" i="2"/>
  <c r="X227" i="2"/>
  <c r="X232" i="2"/>
  <c r="X236" i="2"/>
  <c r="W249" i="2"/>
  <c r="X296" i="2"/>
  <c r="X291" i="2"/>
  <c r="Y291" i="2" s="1"/>
  <c r="F291" i="2"/>
  <c r="F296" i="2" s="1"/>
  <c r="C296" i="2"/>
  <c r="W308" i="2"/>
  <c r="X308" i="2" s="1"/>
  <c r="Y308" i="2" s="1"/>
  <c r="F314" i="2"/>
  <c r="W348" i="2"/>
  <c r="X321" i="2"/>
  <c r="X363" i="2"/>
  <c r="X372" i="2"/>
  <c r="F372" i="2"/>
  <c r="X375" i="2"/>
  <c r="Y375" i="2" s="1"/>
  <c r="F375" i="2"/>
  <c r="I383" i="2"/>
  <c r="W379" i="2"/>
  <c r="X379" i="2" s="1"/>
  <c r="Y379" i="2" s="1"/>
  <c r="W381" i="2"/>
  <c r="X381" i="2" s="1"/>
  <c r="Y381" i="2" s="1"/>
  <c r="C383" i="2"/>
  <c r="L414" i="2"/>
  <c r="L415" i="2" s="1"/>
  <c r="L420" i="2" s="1"/>
  <c r="P414" i="2"/>
  <c r="P415" i="2" s="1"/>
  <c r="P420" i="2" s="1"/>
  <c r="R414" i="2"/>
  <c r="R415" i="2" s="1"/>
  <c r="R420" i="2" s="1"/>
  <c r="I413" i="2"/>
  <c r="X433" i="2"/>
  <c r="Y433" i="2" s="1"/>
  <c r="N433" i="2"/>
  <c r="W433" i="2" s="1"/>
  <c r="W439" i="2"/>
  <c r="V463" i="2"/>
  <c r="W459" i="2"/>
  <c r="X459" i="2" s="1"/>
  <c r="Y459" i="2" s="1"/>
  <c r="N491" i="2"/>
  <c r="W477" i="2"/>
  <c r="X477" i="2" s="1"/>
  <c r="Y477" i="2" s="1"/>
  <c r="Y493" i="2"/>
  <c r="X494" i="2"/>
  <c r="Y494" i="2" s="1"/>
  <c r="X513" i="2"/>
  <c r="X520" i="2"/>
  <c r="X526" i="2"/>
  <c r="C573" i="2"/>
  <c r="X585" i="2"/>
  <c r="X605" i="2"/>
  <c r="Y600" i="2"/>
  <c r="Y605" i="2" s="1"/>
  <c r="X669" i="2"/>
  <c r="Y668" i="2"/>
  <c r="Y669" i="2" s="1"/>
  <c r="W669" i="2"/>
  <c r="N28" i="2"/>
  <c r="N37" i="2" s="1"/>
  <c r="X69" i="2"/>
  <c r="N81" i="2"/>
  <c r="N90" i="2"/>
  <c r="W90" i="2" s="1"/>
  <c r="X90" i="2" s="1"/>
  <c r="Y90" i="2" s="1"/>
  <c r="N105" i="2"/>
  <c r="N109" i="2"/>
  <c r="W109" i="2" s="1"/>
  <c r="X109" i="2" s="1"/>
  <c r="Y109" i="2" s="1"/>
  <c r="N110" i="2"/>
  <c r="W110" i="2" s="1"/>
  <c r="X110" i="2" s="1"/>
  <c r="Y110" i="2" s="1"/>
  <c r="X128" i="2"/>
  <c r="F194" i="2"/>
  <c r="F204" i="2"/>
  <c r="F217" i="2" s="1"/>
  <c r="F207" i="2"/>
  <c r="F209" i="2"/>
  <c r="F213" i="2"/>
  <c r="Y238" i="2"/>
  <c r="F241" i="2"/>
  <c r="X241" i="2"/>
  <c r="Y241" i="2" s="1"/>
  <c r="X252" i="2"/>
  <c r="F262" i="2"/>
  <c r="F284" i="2" s="1"/>
  <c r="F266" i="2"/>
  <c r="F271" i="2"/>
  <c r="F276" i="2"/>
  <c r="F282" i="2"/>
  <c r="Y286" i="2"/>
  <c r="Y296" i="2" s="1"/>
  <c r="G415" i="2"/>
  <c r="G420" i="2" s="1"/>
  <c r="G824" i="2" s="1"/>
  <c r="W298" i="2"/>
  <c r="X298" i="2" s="1"/>
  <c r="X301" i="2"/>
  <c r="Y301" i="2" s="1"/>
  <c r="F301" i="2"/>
  <c r="F303" i="2" s="1"/>
  <c r="C319" i="2"/>
  <c r="N308" i="2"/>
  <c r="F309" i="2"/>
  <c r="N312" i="2"/>
  <c r="W312" i="2" s="1"/>
  <c r="X312" i="2" s="1"/>
  <c r="Y312" i="2" s="1"/>
  <c r="W313" i="2"/>
  <c r="X313" i="2" s="1"/>
  <c r="Y313" i="2" s="1"/>
  <c r="F319" i="2"/>
  <c r="F348" i="2"/>
  <c r="X325" i="2"/>
  <c r="Y325" i="2" s="1"/>
  <c r="W331" i="2"/>
  <c r="X331" i="2" s="1"/>
  <c r="Y331" i="2" s="1"/>
  <c r="F356" i="2"/>
  <c r="I353" i="2"/>
  <c r="X361" i="2"/>
  <c r="X377" i="2"/>
  <c r="Y377" i="2" s="1"/>
  <c r="F377" i="2"/>
  <c r="F383" i="2" s="1"/>
  <c r="S414" i="2"/>
  <c r="S415" i="2" s="1"/>
  <c r="S420" i="2" s="1"/>
  <c r="W380" i="2"/>
  <c r="X380" i="2" s="1"/>
  <c r="Y380" i="2" s="1"/>
  <c r="N381" i="2"/>
  <c r="N383" i="2" s="1"/>
  <c r="K414" i="2"/>
  <c r="K415" i="2" s="1"/>
  <c r="K420" i="2" s="1"/>
  <c r="O414" i="2"/>
  <c r="O415" i="2" s="1"/>
  <c r="O420" i="2" s="1"/>
  <c r="T414" i="2"/>
  <c r="T415" i="2" s="1"/>
  <c r="T420" i="2" s="1"/>
  <c r="V414" i="2"/>
  <c r="V415" i="2" s="1"/>
  <c r="V420" i="2" s="1"/>
  <c r="X388" i="2"/>
  <c r="Y385" i="2"/>
  <c r="C388" i="2"/>
  <c r="X387" i="2"/>
  <c r="Y387" i="2" s="1"/>
  <c r="F387" i="2"/>
  <c r="F388" i="2" s="1"/>
  <c r="X413" i="2"/>
  <c r="W413" i="2"/>
  <c r="W426" i="2"/>
  <c r="X426" i="2" s="1"/>
  <c r="Y426" i="2" s="1"/>
  <c r="C441" i="2"/>
  <c r="F432" i="2"/>
  <c r="X432" i="2" s="1"/>
  <c r="Y432" i="2" s="1"/>
  <c r="S441" i="2"/>
  <c r="X437" i="2"/>
  <c r="Y437" i="2" s="1"/>
  <c r="N437" i="2"/>
  <c r="W437" i="2" s="1"/>
  <c r="F446" i="2"/>
  <c r="S444" i="2"/>
  <c r="S446" i="2" s="1"/>
  <c r="N444" i="2"/>
  <c r="Q444" i="2"/>
  <c r="Q446" i="2" s="1"/>
  <c r="C463" i="2"/>
  <c r="Y475" i="2"/>
  <c r="Y491" i="2" s="1"/>
  <c r="F491" i="2"/>
  <c r="W491" i="2"/>
  <c r="Y513" i="2"/>
  <c r="Y529" i="2"/>
  <c r="T535" i="2"/>
  <c r="W531" i="2"/>
  <c r="T556" i="2"/>
  <c r="W583" i="2"/>
  <c r="X580" i="2"/>
  <c r="Y580" i="2" s="1"/>
  <c r="V583" i="2"/>
  <c r="I642" i="2"/>
  <c r="W617" i="2"/>
  <c r="X617" i="2" s="1"/>
  <c r="Y617" i="2" s="1"/>
  <c r="I650" i="2"/>
  <c r="W650" i="2" s="1"/>
  <c r="X650" i="2" s="1"/>
  <c r="Y650" i="2" s="1"/>
  <c r="N650" i="2"/>
  <c r="N694" i="2"/>
  <c r="X702" i="2"/>
  <c r="Y702" i="2" s="1"/>
  <c r="F702" i="2"/>
  <c r="C705" i="2"/>
  <c r="H705" i="2"/>
  <c r="W703" i="2"/>
  <c r="X703" i="2" s="1"/>
  <c r="Y703" i="2" s="1"/>
  <c r="N305" i="2"/>
  <c r="X427" i="2"/>
  <c r="Y427" i="2" s="1"/>
  <c r="W427" i="2"/>
  <c r="X431" i="2"/>
  <c r="W432" i="2"/>
  <c r="W436" i="2"/>
  <c r="X436" i="2" s="1"/>
  <c r="Y436" i="2" s="1"/>
  <c r="X439" i="2"/>
  <c r="Y439" i="2" s="1"/>
  <c r="J441" i="2"/>
  <c r="W445" i="2"/>
  <c r="X445" i="2" s="1"/>
  <c r="Y445" i="2" s="1"/>
  <c r="F463" i="2"/>
  <c r="I449" i="2"/>
  <c r="X453" i="2"/>
  <c r="Y453" i="2" s="1"/>
  <c r="I453" i="2"/>
  <c r="W453" i="2" s="1"/>
  <c r="X455" i="2"/>
  <c r="Y455" i="2" s="1"/>
  <c r="X465" i="2"/>
  <c r="X468" i="2"/>
  <c r="Y468" i="2" s="1"/>
  <c r="X495" i="2"/>
  <c r="Y495" i="2" s="1"/>
  <c r="T500" i="2"/>
  <c r="F513" i="2"/>
  <c r="F520" i="2"/>
  <c r="Y520" i="2"/>
  <c r="F524" i="2"/>
  <c r="X522" i="2"/>
  <c r="X550" i="2"/>
  <c r="Y550" i="2" s="1"/>
  <c r="X553" i="2"/>
  <c r="Y553" i="2" s="1"/>
  <c r="X558" i="2"/>
  <c r="Y558" i="2" s="1"/>
  <c r="X564" i="2"/>
  <c r="Y564" i="2" s="1"/>
  <c r="X566" i="2"/>
  <c r="Y566" i="2" s="1"/>
  <c r="X568" i="2"/>
  <c r="Y568" i="2" s="1"/>
  <c r="X571" i="2"/>
  <c r="Y571" i="2" s="1"/>
  <c r="F583" i="2"/>
  <c r="Y583" i="2"/>
  <c r="X579" i="2"/>
  <c r="Y579" i="2" s="1"/>
  <c r="C583" i="2"/>
  <c r="F595" i="2"/>
  <c r="X593" i="2"/>
  <c r="Y597" i="2"/>
  <c r="Y598" i="2" s="1"/>
  <c r="X598" i="2"/>
  <c r="F642" i="2"/>
  <c r="X647" i="2"/>
  <c r="F662" i="2"/>
  <c r="C666" i="2"/>
  <c r="Y707" i="2"/>
  <c r="Y718" i="2" s="1"/>
  <c r="X718" i="2"/>
  <c r="T740" i="2"/>
  <c r="W735" i="2"/>
  <c r="X735" i="2" s="1"/>
  <c r="Y735" i="2" s="1"/>
  <c r="X759" i="2"/>
  <c r="Y755" i="2"/>
  <c r="Y759" i="2" s="1"/>
  <c r="W759" i="2"/>
  <c r="H764" i="2"/>
  <c r="W763" i="2"/>
  <c r="X763" i="2" s="1"/>
  <c r="Y763" i="2" s="1"/>
  <c r="W425" i="2"/>
  <c r="R471" i="2"/>
  <c r="W642" i="2"/>
  <c r="X607" i="2"/>
  <c r="T642" i="2"/>
  <c r="F647" i="2"/>
  <c r="Y647" i="2"/>
  <c r="W649" i="2"/>
  <c r="C652" i="2"/>
  <c r="F651" i="2"/>
  <c r="X656" i="2"/>
  <c r="W656" i="2"/>
  <c r="H664" i="2"/>
  <c r="N664" i="2"/>
  <c r="C685" i="2"/>
  <c r="I700" i="2"/>
  <c r="W700" i="2" s="1"/>
  <c r="X700" i="2" s="1"/>
  <c r="Y700" i="2" s="1"/>
  <c r="N700" i="2"/>
  <c r="N705" i="2" s="1"/>
  <c r="J817" i="2"/>
  <c r="J818" i="2" s="1"/>
  <c r="J823" i="2" s="1"/>
  <c r="J824" i="2" s="1"/>
  <c r="L817" i="2"/>
  <c r="L818" i="2" s="1"/>
  <c r="L823" i="2" s="1"/>
  <c r="P817" i="2"/>
  <c r="P818" i="2" s="1"/>
  <c r="P823" i="2" s="1"/>
  <c r="P824" i="2" s="1"/>
  <c r="T705" i="2"/>
  <c r="V817" i="2"/>
  <c r="V818" i="2" s="1"/>
  <c r="V823" i="2" s="1"/>
  <c r="V824" i="2" s="1"/>
  <c r="F740" i="2"/>
  <c r="Y769" i="2"/>
  <c r="Y789" i="2"/>
  <c r="Y794" i="2"/>
  <c r="Y795" i="2" s="1"/>
  <c r="X814" i="2"/>
  <c r="N658" i="2"/>
  <c r="N663" i="2"/>
  <c r="H663" i="2"/>
  <c r="W663" i="2" s="1"/>
  <c r="X663" i="2" s="1"/>
  <c r="Y663" i="2" s="1"/>
  <c r="F669" i="2"/>
  <c r="W685" i="2"/>
  <c r="X671" i="2"/>
  <c r="X674" i="2"/>
  <c r="Y674" i="2" s="1"/>
  <c r="X675" i="2"/>
  <c r="Y675" i="2" s="1"/>
  <c r="X681" i="2"/>
  <c r="Y681" i="2" s="1"/>
  <c r="X683" i="2"/>
  <c r="Y683" i="2" s="1"/>
  <c r="F694" i="2"/>
  <c r="I694" i="2"/>
  <c r="W690" i="2"/>
  <c r="X690" i="2" s="1"/>
  <c r="Y690" i="2" s="1"/>
  <c r="F705" i="2"/>
  <c r="I699" i="2"/>
  <c r="K817" i="2"/>
  <c r="K818" i="2" s="1"/>
  <c r="K823" i="2" s="1"/>
  <c r="S817" i="2"/>
  <c r="S818" i="2" s="1"/>
  <c r="S823" i="2" s="1"/>
  <c r="S824" i="2" s="1"/>
  <c r="W740" i="2"/>
  <c r="X729" i="2"/>
  <c r="Y729" i="2" s="1"/>
  <c r="Y740" i="2" s="1"/>
  <c r="F729" i="2"/>
  <c r="X736" i="2"/>
  <c r="Y736" i="2" s="1"/>
  <c r="C751" i="2"/>
  <c r="X750" i="2"/>
  <c r="F750" i="2"/>
  <c r="F751" i="2" s="1"/>
  <c r="I764" i="2"/>
  <c r="W762" i="2"/>
  <c r="W773" i="2"/>
  <c r="W780" i="2"/>
  <c r="X775" i="2"/>
  <c r="T786" i="2"/>
  <c r="W783" i="2"/>
  <c r="Q689" i="2"/>
  <c r="Q694" i="2" s="1"/>
  <c r="M817" i="2"/>
  <c r="M818" i="2" s="1"/>
  <c r="M823" i="2" s="1"/>
  <c r="M824" i="2" s="1"/>
  <c r="Q817" i="2"/>
  <c r="U817" i="2"/>
  <c r="U818" i="2" s="1"/>
  <c r="U823" i="2" s="1"/>
  <c r="U824" i="2" s="1"/>
  <c r="Z817" i="2"/>
  <c r="Z818" i="2" s="1"/>
  <c r="Z823" i="2" s="1"/>
  <c r="AB817" i="2"/>
  <c r="AB818" i="2" s="1"/>
  <c r="AB823" i="2" s="1"/>
  <c r="X770" i="2"/>
  <c r="Y770" i="2" s="1"/>
  <c r="X772" i="2"/>
  <c r="Y772" i="2" s="1"/>
  <c r="F786" i="2"/>
  <c r="X782" i="2"/>
  <c r="F812" i="2"/>
  <c r="X807" i="2"/>
  <c r="X790" i="2"/>
  <c r="Y790" i="2" s="1"/>
  <c r="F805" i="2"/>
  <c r="X803" i="2"/>
  <c r="N797" i="2"/>
  <c r="N798" i="2"/>
  <c r="W798" i="2" s="1"/>
  <c r="X798" i="2" s="1"/>
  <c r="Y798" i="2" s="1"/>
  <c r="N799" i="2"/>
  <c r="W799" i="2" s="1"/>
  <c r="X799" i="2" s="1"/>
  <c r="Y799" i="2" s="1"/>
  <c r="N800" i="2"/>
  <c r="W800" i="2" s="1"/>
  <c r="X800" i="2" s="1"/>
  <c r="Y800" i="2" s="1"/>
  <c r="C39" i="1"/>
  <c r="E39" i="1"/>
  <c r="I39" i="1"/>
  <c r="M39" i="1"/>
  <c r="L39" i="1"/>
  <c r="Q39" i="1"/>
  <c r="G39" i="1"/>
  <c r="O39" i="1"/>
  <c r="D39" i="1"/>
  <c r="F39" i="1"/>
  <c r="J39" i="1"/>
  <c r="N39" i="1"/>
  <c r="K39" i="1"/>
  <c r="P39" i="1"/>
  <c r="H39" i="1"/>
  <c r="R10" i="1"/>
  <c r="R25" i="1"/>
  <c r="Y803" i="2" l="1"/>
  <c r="Y805" i="2" s="1"/>
  <c r="X805" i="2"/>
  <c r="X762" i="2"/>
  <c r="W764" i="2"/>
  <c r="Y750" i="2"/>
  <c r="Y751" i="2" s="1"/>
  <c r="X751" i="2"/>
  <c r="I705" i="2"/>
  <c r="W699" i="2"/>
  <c r="N666" i="2"/>
  <c r="Y814" i="2"/>
  <c r="Y816" i="2" s="1"/>
  <c r="X816" i="2"/>
  <c r="Y792" i="2"/>
  <c r="Y773" i="2"/>
  <c r="X740" i="2"/>
  <c r="N651" i="2"/>
  <c r="N652" i="2" s="1"/>
  <c r="I651" i="2"/>
  <c r="W428" i="2"/>
  <c r="X425" i="2"/>
  <c r="N662" i="2"/>
  <c r="H662" i="2"/>
  <c r="W658" i="2"/>
  <c r="Y522" i="2"/>
  <c r="Y524" i="2" s="1"/>
  <c r="X524" i="2"/>
  <c r="I463" i="2"/>
  <c r="W449" i="2"/>
  <c r="Y431" i="2"/>
  <c r="Y441" i="2" s="1"/>
  <c r="X441" i="2"/>
  <c r="C817" i="2"/>
  <c r="C818" i="2" s="1"/>
  <c r="C823" i="2" s="1"/>
  <c r="T573" i="2"/>
  <c r="W556" i="2"/>
  <c r="X531" i="2"/>
  <c r="W535" i="2"/>
  <c r="F441" i="2"/>
  <c r="Y243" i="2"/>
  <c r="X133" i="2"/>
  <c r="Y128" i="2"/>
  <c r="Y133" i="2" s="1"/>
  <c r="N86" i="2"/>
  <c r="W86" i="2" s="1"/>
  <c r="W81" i="2"/>
  <c r="X81" i="2" s="1"/>
  <c r="Y585" i="2"/>
  <c r="Y591" i="2" s="1"/>
  <c r="X591" i="2"/>
  <c r="Y526" i="2"/>
  <c r="Y527" i="2" s="1"/>
  <c r="X527" i="2"/>
  <c r="W441" i="2"/>
  <c r="X383" i="2"/>
  <c r="Y372" i="2"/>
  <c r="Y383" i="2" s="1"/>
  <c r="Y363" i="2"/>
  <c r="Y369" i="2" s="1"/>
  <c r="X369" i="2"/>
  <c r="I175" i="2"/>
  <c r="W175" i="2" s="1"/>
  <c r="W171" i="2"/>
  <c r="X171" i="2" s="1"/>
  <c r="Y153" i="2"/>
  <c r="I92" i="2"/>
  <c r="W92" i="2" s="1"/>
  <c r="W88" i="2"/>
  <c r="X88" i="2" s="1"/>
  <c r="I52" i="2"/>
  <c r="W40" i="2"/>
  <c r="Y103" i="2"/>
  <c r="I98" i="2"/>
  <c r="W98" i="2" s="1"/>
  <c r="W94" i="2"/>
  <c r="X94" i="2" s="1"/>
  <c r="X79" i="2"/>
  <c r="W25" i="2"/>
  <c r="F142" i="2"/>
  <c r="F414" i="2" s="1"/>
  <c r="F415" i="2" s="1"/>
  <c r="F420" i="2" s="1"/>
  <c r="X142" i="2"/>
  <c r="N801" i="2"/>
  <c r="N817" i="2" s="1"/>
  <c r="N818" i="2" s="1"/>
  <c r="N823" i="2" s="1"/>
  <c r="W797" i="2"/>
  <c r="Y807" i="2"/>
  <c r="Y812" i="2" s="1"/>
  <c r="X812" i="2"/>
  <c r="Y782" i="2"/>
  <c r="Q818" i="2"/>
  <c r="Q823" i="2" s="1"/>
  <c r="Q824" i="2" s="1"/>
  <c r="X783" i="2"/>
  <c r="Y783" i="2" s="1"/>
  <c r="W786" i="2"/>
  <c r="Y775" i="2"/>
  <c r="Y780" i="2" s="1"/>
  <c r="X780" i="2"/>
  <c r="K824" i="2"/>
  <c r="X685" i="2"/>
  <c r="Y671" i="2"/>
  <c r="Y685" i="2" s="1"/>
  <c r="F666" i="2"/>
  <c r="F817" i="2" s="1"/>
  <c r="F818" i="2" s="1"/>
  <c r="F823" i="2" s="1"/>
  <c r="X792" i="2"/>
  <c r="X773" i="2"/>
  <c r="L824" i="2"/>
  <c r="W664" i="2"/>
  <c r="X664" i="2" s="1"/>
  <c r="Y664" i="2" s="1"/>
  <c r="F652" i="2"/>
  <c r="X649" i="2"/>
  <c r="X642" i="2"/>
  <c r="Y607" i="2"/>
  <c r="Y642" i="2" s="1"/>
  <c r="R473" i="2"/>
  <c r="R817" i="2" s="1"/>
  <c r="R818" i="2" s="1"/>
  <c r="R823" i="2" s="1"/>
  <c r="R824" i="2" s="1"/>
  <c r="W471" i="2"/>
  <c r="X595" i="2"/>
  <c r="Y593" i="2"/>
  <c r="Y595" i="2" s="1"/>
  <c r="X583" i="2"/>
  <c r="T501" i="2"/>
  <c r="T817" i="2" s="1"/>
  <c r="T818" i="2" s="1"/>
  <c r="T823" i="2" s="1"/>
  <c r="T824" i="2" s="1"/>
  <c r="W500" i="2"/>
  <c r="X469" i="2"/>
  <c r="Y465" i="2"/>
  <c r="Y469" i="2" s="1"/>
  <c r="W689" i="2"/>
  <c r="X491" i="2"/>
  <c r="N446" i="2"/>
  <c r="W444" i="2"/>
  <c r="Y388" i="2"/>
  <c r="I356" i="2"/>
  <c r="W353" i="2"/>
  <c r="N309" i="2"/>
  <c r="H309" i="2"/>
  <c r="W305" i="2"/>
  <c r="X305" i="2" s="1"/>
  <c r="X303" i="2"/>
  <c r="Y298" i="2"/>
  <c r="Y303" i="2" s="1"/>
  <c r="X284" i="2"/>
  <c r="Y252" i="2"/>
  <c r="Y284" i="2" s="1"/>
  <c r="N194" i="2"/>
  <c r="N196" i="2" s="1"/>
  <c r="I194" i="2"/>
  <c r="N114" i="2"/>
  <c r="X74" i="2"/>
  <c r="Y69" i="2"/>
  <c r="Y74" i="2" s="1"/>
  <c r="X22" i="2"/>
  <c r="N441" i="2"/>
  <c r="C414" i="2"/>
  <c r="C415" i="2" s="1"/>
  <c r="C420" i="2" s="1"/>
  <c r="W383" i="2"/>
  <c r="Y321" i="2"/>
  <c r="Y348" i="2" s="1"/>
  <c r="X348" i="2"/>
  <c r="N314" i="2"/>
  <c r="N319" i="2" s="1"/>
  <c r="N414" i="2" s="1"/>
  <c r="N415" i="2" s="1"/>
  <c r="N420" i="2" s="1"/>
  <c r="H314" i="2"/>
  <c r="X217" i="2"/>
  <c r="I179" i="2"/>
  <c r="W179" i="2" s="1"/>
  <c r="W177" i="2"/>
  <c r="X177" i="2" s="1"/>
  <c r="X153" i="2"/>
  <c r="W28" i="2"/>
  <c r="X243" i="2"/>
  <c r="Y191" i="2"/>
  <c r="X116" i="2"/>
  <c r="F126" i="2"/>
  <c r="W105" i="2"/>
  <c r="X103" i="2"/>
  <c r="Y79" i="2"/>
  <c r="X54" i="2"/>
  <c r="F62" i="2"/>
  <c r="W47" i="2"/>
  <c r="X47" i="2" s="1"/>
  <c r="Y47" i="2" s="1"/>
  <c r="Y142" i="2"/>
  <c r="W126" i="2"/>
  <c r="R18" i="1"/>
  <c r="R23" i="1" s="1"/>
  <c r="S10" i="1"/>
  <c r="R33" i="1"/>
  <c r="R38" i="1" s="1"/>
  <c r="R39" i="1" s="1"/>
  <c r="S25" i="1"/>
  <c r="N824" i="2" l="1"/>
  <c r="F824" i="2"/>
  <c r="W114" i="2"/>
  <c r="X105" i="2"/>
  <c r="X126" i="2"/>
  <c r="Y116" i="2"/>
  <c r="Y126" i="2" s="1"/>
  <c r="X28" i="2"/>
  <c r="W37" i="2"/>
  <c r="Y177" i="2"/>
  <c r="Y179" i="2" s="1"/>
  <c r="X179" i="2"/>
  <c r="W309" i="2"/>
  <c r="X309" i="2" s="1"/>
  <c r="Y309" i="2" s="1"/>
  <c r="H319" i="2"/>
  <c r="W356" i="2"/>
  <c r="X353" i="2"/>
  <c r="W694" i="2"/>
  <c r="X689" i="2"/>
  <c r="Y649" i="2"/>
  <c r="Y786" i="2"/>
  <c r="W801" i="2"/>
  <c r="X797" i="2"/>
  <c r="Y94" i="2"/>
  <c r="Y98" i="2" s="1"/>
  <c r="X98" i="2"/>
  <c r="Y171" i="2"/>
  <c r="Y175" i="2" s="1"/>
  <c r="X175" i="2"/>
  <c r="W573" i="2"/>
  <c r="X556" i="2"/>
  <c r="C824" i="2"/>
  <c r="Y2" i="2" s="1"/>
  <c r="W662" i="2"/>
  <c r="X662" i="2" s="1"/>
  <c r="Y662" i="2" s="1"/>
  <c r="H666" i="2"/>
  <c r="H817" i="2" s="1"/>
  <c r="H818" i="2" s="1"/>
  <c r="H823" i="2" s="1"/>
  <c r="Y425" i="2"/>
  <c r="Y428" i="2" s="1"/>
  <c r="X428" i="2"/>
  <c r="W651" i="2"/>
  <c r="I652" i="2"/>
  <c r="I817" i="2"/>
  <c r="I818" i="2" s="1"/>
  <c r="I823" i="2" s="1"/>
  <c r="Y762" i="2"/>
  <c r="Y764" i="2" s="1"/>
  <c r="X764" i="2"/>
  <c r="X62" i="2"/>
  <c r="Y54" i="2"/>
  <c r="Y62" i="2" s="1"/>
  <c r="W314" i="2"/>
  <c r="X314" i="2" s="1"/>
  <c r="Y314" i="2" s="1"/>
  <c r="X25" i="2"/>
  <c r="Y22" i="2"/>
  <c r="Y25" i="2" s="1"/>
  <c r="I196" i="2"/>
  <c r="I414" i="2" s="1"/>
  <c r="I415" i="2" s="1"/>
  <c r="I420" i="2" s="1"/>
  <c r="W194" i="2"/>
  <c r="X319" i="2"/>
  <c r="Y305" i="2"/>
  <c r="W446" i="2"/>
  <c r="X444" i="2"/>
  <c r="W501" i="2"/>
  <c r="X500" i="2"/>
  <c r="W473" i="2"/>
  <c r="X471" i="2"/>
  <c r="X786" i="2"/>
  <c r="W52" i="2"/>
  <c r="X40" i="2"/>
  <c r="Y88" i="2"/>
  <c r="Y92" i="2" s="1"/>
  <c r="X92" i="2"/>
  <c r="Y81" i="2"/>
  <c r="Y86" i="2" s="1"/>
  <c r="X86" i="2"/>
  <c r="Y531" i="2"/>
  <c r="Y535" i="2" s="1"/>
  <c r="X535" i="2"/>
  <c r="W463" i="2"/>
  <c r="X449" i="2"/>
  <c r="W666" i="2"/>
  <c r="X658" i="2"/>
  <c r="W705" i="2"/>
  <c r="X699" i="2"/>
  <c r="S33" i="1"/>
  <c r="S38" i="1" s="1"/>
  <c r="T25" i="1"/>
  <c r="T33" i="1" s="1"/>
  <c r="T38" i="1" s="1"/>
  <c r="T39" i="1" s="1"/>
  <c r="S18" i="1"/>
  <c r="S23" i="1" s="1"/>
  <c r="T10" i="1"/>
  <c r="T18" i="1" s="1"/>
  <c r="T23" i="1" s="1"/>
  <c r="X52" i="2" l="1"/>
  <c r="Y40" i="2"/>
  <c r="Y52" i="2" s="1"/>
  <c r="I824" i="2"/>
  <c r="X651" i="2"/>
  <c r="W652" i="2"/>
  <c r="W817" i="2" s="1"/>
  <c r="W818" i="2" s="1"/>
  <c r="W823" i="2" s="1"/>
  <c r="Y556" i="2"/>
  <c r="Y573" i="2" s="1"/>
  <c r="X573" i="2"/>
  <c r="X801" i="2"/>
  <c r="Y797" i="2"/>
  <c r="Y801" i="2" s="1"/>
  <c r="X37" i="2"/>
  <c r="Y28" i="2"/>
  <c r="Y37" i="2" s="1"/>
  <c r="Y699" i="2"/>
  <c r="Y705" i="2" s="1"/>
  <c r="X705" i="2"/>
  <c r="X666" i="2"/>
  <c r="Y658" i="2"/>
  <c r="Y666" i="2" s="1"/>
  <c r="Y449" i="2"/>
  <c r="Y463" i="2" s="1"/>
  <c r="X463" i="2"/>
  <c r="X473" i="2"/>
  <c r="Y471" i="2"/>
  <c r="Y473" i="2" s="1"/>
  <c r="Y500" i="2"/>
  <c r="Y501" i="2" s="1"/>
  <c r="X501" i="2"/>
  <c r="Y444" i="2"/>
  <c r="Y446" i="2" s="1"/>
  <c r="X446" i="2"/>
  <c r="Y319" i="2"/>
  <c r="X194" i="2"/>
  <c r="W196" i="2"/>
  <c r="H824" i="2"/>
  <c r="Y689" i="2"/>
  <c r="Y694" i="2" s="1"/>
  <c r="X694" i="2"/>
  <c r="Y353" i="2"/>
  <c r="Y356" i="2" s="1"/>
  <c r="X356" i="2"/>
  <c r="W319" i="2"/>
  <c r="W414" i="2" s="1"/>
  <c r="W415" i="2" s="1"/>
  <c r="W420" i="2" s="1"/>
  <c r="H414" i="2"/>
  <c r="H415" i="2" s="1"/>
  <c r="H420" i="2" s="1"/>
  <c r="Y105" i="2"/>
  <c r="Y114" i="2" s="1"/>
  <c r="X114" i="2"/>
  <c r="S39" i="1"/>
  <c r="W824" i="2" l="1"/>
  <c r="Y194" i="2"/>
  <c r="Y196" i="2" s="1"/>
  <c r="Y414" i="2" s="1"/>
  <c r="Y415" i="2" s="1"/>
  <c r="Y420" i="2" s="1"/>
  <c r="X196" i="2"/>
  <c r="X414" i="2"/>
  <c r="X415" i="2" s="1"/>
  <c r="X420" i="2" s="1"/>
  <c r="Y817" i="2"/>
  <c r="Y818" i="2" s="1"/>
  <c r="Y823" i="2" s="1"/>
  <c r="Y651" i="2"/>
  <c r="Y652" i="2" s="1"/>
  <c r="X652" i="2"/>
  <c r="X817" i="2" s="1"/>
  <c r="X818" i="2" s="1"/>
  <c r="X823" i="2" s="1"/>
  <c r="X824" i="2" s="1"/>
  <c r="V5" i="2" s="1"/>
  <c r="Y824" i="2" l="1"/>
  <c r="AB414" i="2"/>
  <c r="AB351" i="2"/>
  <c r="Z414" i="2"/>
  <c r="Z351" i="2"/>
  <c r="AA414" i="2"/>
  <c r="AA351" i="2"/>
  <c r="AC351" i="2"/>
  <c r="AC414" i="2"/>
</calcChain>
</file>

<file path=xl/sharedStrings.xml><?xml version="1.0" encoding="utf-8"?>
<sst xmlns="http://schemas.openxmlformats.org/spreadsheetml/2006/main" count="847" uniqueCount="479">
  <si>
    <t>Зведений штатний розпис на  2016 рік</t>
  </si>
  <si>
    <t>Н а ц і о н а л ь н и й    т е х н і ч н и й    у н і в е р с и т е т   "ХПІ"</t>
  </si>
  <si>
    <t>з 01.05.2016</t>
  </si>
  <si>
    <t>№п\п</t>
  </si>
  <si>
    <t>Назва структурного</t>
  </si>
  <si>
    <t>Кільк.шт.од.</t>
  </si>
  <si>
    <t xml:space="preserve">Разом по окладах ЄТС 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</si>
  <si>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</si>
  <si>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</si>
  <si>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</si>
  <si>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</si>
  <si>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</si>
  <si>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</si>
  <si>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</si>
  <si>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Педагогічному персоналу 20%</t>
  </si>
  <si>
    <t>За особливі умови праці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</si>
  <si>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</si>
  <si>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</si>
  <si>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</si>
  <si>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</si>
  <si>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вчене звання</t>
  </si>
  <si>
    <t>наукова ступень</t>
  </si>
  <si>
    <t>Праця в шкідл.умовах,прибир.туалетів</t>
  </si>
  <si>
    <t>За зав.кафед.</t>
  </si>
  <si>
    <t>Зам.декан,бригад.,класн., майстерн.ночн.,н.р.д.</t>
  </si>
  <si>
    <t>доплати</t>
  </si>
  <si>
    <t>заробітної</t>
  </si>
  <si>
    <t>та надб.</t>
  </si>
  <si>
    <t xml:space="preserve">плати на </t>
  </si>
  <si>
    <t>місяць</t>
  </si>
  <si>
    <t xml:space="preserve"> 2016РІК</t>
  </si>
  <si>
    <t>Загальний фонд</t>
  </si>
  <si>
    <t>АУП (ректор, проректори)</t>
  </si>
  <si>
    <t>АУП (декани)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</si>
  <si>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</si>
  <si>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</si>
  <si>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</si>
  <si>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</si>
  <si>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</si>
  <si>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</si>
  <si>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</si>
  <si>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ФЗП січень-квітень</t>
  </si>
  <si>
    <t>Щорічна винагорода пед.прац.</t>
  </si>
  <si>
    <t>Доплата на оздоровлення</t>
  </si>
  <si>
    <t>Нерозподілені видатки на підвищення зарплати</t>
  </si>
  <si>
    <t>Разом по загальному фонду</t>
  </si>
  <si>
    <t>Спеціальний фонд</t>
  </si>
  <si>
    <t>Погодинний фонд</t>
  </si>
  <si>
    <t>Щорічна винагорода пед.прац., доплата на оздоровлення</t>
  </si>
  <si>
    <t>Разом по cпеціальному фонду</t>
  </si>
  <si>
    <t>Разом по ВУЗу</t>
  </si>
  <si>
    <t>Ректор НТУ"ХПІ"</t>
  </si>
  <si>
    <t>Є.І.Сокол</t>
  </si>
  <si>
    <t>Начальник ПФВ</t>
  </si>
  <si>
    <t>Н.М.Горбатенко</t>
  </si>
  <si>
    <r>
      <t xml:space="preserve">Штатний розпис на    </t>
    </r>
    <r>
      <rPr>
        <b/>
        <sz val="26"/>
        <rFont val="Bookman Old Style"/>
        <family val="1"/>
        <charset val="204"/>
      </rPr>
      <t>2016</t>
    </r>
    <r>
      <rPr>
        <b/>
        <sz val="20"/>
        <rFont val="Bookman Old Style"/>
        <family val="1"/>
        <charset val="204"/>
      </rPr>
      <t>рік</t>
    </r>
  </si>
  <si>
    <t>Затверджую</t>
  </si>
  <si>
    <t xml:space="preserve">Штат в кількості </t>
  </si>
  <si>
    <t>Н а ц і о н а л ь н и й    т е х н і ч н и й    у н і в е р с и т е т   "Харківський політехнічний інститут"</t>
  </si>
  <si>
    <t xml:space="preserve">штатних одиниць з місячним </t>
  </si>
  <si>
    <t>фондом заробітної плати</t>
  </si>
  <si>
    <t>грн.</t>
  </si>
  <si>
    <t>"          "                           2016 р.</t>
  </si>
  <si>
    <t>МП</t>
  </si>
  <si>
    <t>з 01.05.16</t>
  </si>
  <si>
    <t>Сума в гривнях</t>
  </si>
  <si>
    <t>Присвоєний розряд</t>
  </si>
  <si>
    <t>Оклад по ЄТС</t>
  </si>
  <si>
    <t>Разом сума по окладах</t>
  </si>
  <si>
    <t>Доплати(грн)</t>
  </si>
  <si>
    <t>За особливі умови праці 50%</t>
  </si>
  <si>
    <t>"Заслуж."20%</t>
  </si>
  <si>
    <t>За володіння інозем.мовою 10%</t>
  </si>
  <si>
    <t>Зам.декана 30%</t>
  </si>
  <si>
    <t>Праця в шкідл.умовах, прибирання туалетів</t>
  </si>
  <si>
    <t>Бригад.,класн.,майстерн.ночн.,н.р.д.</t>
  </si>
  <si>
    <t xml:space="preserve">проф.33% </t>
  </si>
  <si>
    <t>доцент 25%</t>
  </si>
  <si>
    <t xml:space="preserve">д.н. </t>
  </si>
  <si>
    <t>к.н. 15%</t>
  </si>
  <si>
    <t xml:space="preserve">місяць </t>
  </si>
  <si>
    <t xml:space="preserve"> 2016 РІК</t>
  </si>
  <si>
    <t xml:space="preserve">З А Г А Л Ь Н И Й         Ф О Н Д </t>
  </si>
  <si>
    <t>АУП за умовами праці віднесений до НПП</t>
  </si>
  <si>
    <t>Ректор</t>
  </si>
  <si>
    <t>Проректор</t>
  </si>
  <si>
    <t>Декан</t>
  </si>
  <si>
    <t>Разом АУП</t>
  </si>
  <si>
    <t>Професорсько - викладацький склад</t>
  </si>
  <si>
    <t>Зав.кафедрою</t>
  </si>
  <si>
    <t>Профессор</t>
  </si>
  <si>
    <t xml:space="preserve">Доцент </t>
  </si>
  <si>
    <t>Ст. виклад.</t>
  </si>
  <si>
    <t xml:space="preserve">Викладач , асистент </t>
  </si>
  <si>
    <t>РАЗОМ ПВС</t>
  </si>
  <si>
    <t>Інші категорії працівників</t>
  </si>
  <si>
    <t xml:space="preserve">К А Ф Е Д Р И </t>
  </si>
  <si>
    <t>Зав.навчальн.лаборат</t>
  </si>
  <si>
    <t>Провідний інженер</t>
  </si>
  <si>
    <t>Інженер 1 кат.</t>
  </si>
  <si>
    <t>Інженер 2 кат.</t>
  </si>
  <si>
    <t xml:space="preserve">Інженер </t>
  </si>
  <si>
    <t>Технік 1 кат.</t>
  </si>
  <si>
    <t>Технік 2 кат.</t>
  </si>
  <si>
    <t>МВН</t>
  </si>
  <si>
    <t>Ст.лабор. з в/о</t>
  </si>
  <si>
    <t>Ст.лабор. без в/о</t>
  </si>
  <si>
    <t xml:space="preserve">Лаборант </t>
  </si>
  <si>
    <t>Інженер-програм. 1 кат.</t>
  </si>
  <si>
    <t>ОЦ</t>
  </si>
  <si>
    <t>Нач.бюро</t>
  </si>
  <si>
    <t>Інженер-програм., електр. 1 кат.</t>
  </si>
  <si>
    <t>Оператор</t>
  </si>
  <si>
    <t>Інж.-єлектр. прогр</t>
  </si>
  <si>
    <t>Ректорат</t>
  </si>
  <si>
    <t>Головний інженер</t>
  </si>
  <si>
    <t>Головний механік</t>
  </si>
  <si>
    <t>Виробничий відділ</t>
  </si>
  <si>
    <t>Начальник відділу</t>
  </si>
  <si>
    <t>Інженер</t>
  </si>
  <si>
    <t xml:space="preserve">Технік 1 кат. </t>
  </si>
  <si>
    <t xml:space="preserve">Технік </t>
  </si>
  <si>
    <t>Режимно-секретний відділ НТУ"ХПІ"</t>
  </si>
  <si>
    <t>Зам.нач.відділу</t>
  </si>
  <si>
    <t>Ст.інспектор</t>
  </si>
  <si>
    <t>Навчально-методичний відділ підготовки спеціалістів вищої кваліфікації</t>
  </si>
  <si>
    <t>Інспектор</t>
  </si>
  <si>
    <t>Методист вищої кат.</t>
  </si>
  <si>
    <t>Методист 2 кат.</t>
  </si>
  <si>
    <t>Навчально-методичний відділ договорної та практичної підготовки</t>
  </si>
  <si>
    <t>Методист 1 кат.</t>
  </si>
  <si>
    <t>Лабораторія телекомунікаційних систем та інформаційної безпеки</t>
  </si>
  <si>
    <t>Зав.навч.лаборат</t>
  </si>
  <si>
    <t>Відділ охорони</t>
  </si>
  <si>
    <t xml:space="preserve">Сторож </t>
  </si>
  <si>
    <t>Навчальний відділ</t>
  </si>
  <si>
    <t>Заст.нач.відділу</t>
  </si>
  <si>
    <t xml:space="preserve">Методист </t>
  </si>
  <si>
    <t xml:space="preserve">Інженер-програм.1 к. </t>
  </si>
  <si>
    <t>Деканати факультетів</t>
  </si>
  <si>
    <t>Диспетчер</t>
  </si>
  <si>
    <t xml:space="preserve">Інженер-програм. </t>
  </si>
  <si>
    <t>Секретар-друкарка</t>
  </si>
  <si>
    <t>Методист</t>
  </si>
  <si>
    <t>Відділ кадрів</t>
  </si>
  <si>
    <t>Відділ діловодства та канцелярії</t>
  </si>
  <si>
    <t>Друкарка 1 кат.</t>
  </si>
  <si>
    <t>Відділ по збереженню та обробці документів</t>
  </si>
  <si>
    <t>Архіваріус</t>
  </si>
  <si>
    <t>Планово-фінансовий відділ</t>
  </si>
  <si>
    <t>Економіст 1 кат.</t>
  </si>
  <si>
    <t>Бухгалтерія</t>
  </si>
  <si>
    <t>Головний бухгалтер</t>
  </si>
  <si>
    <t>Зам.гол.бухгалтера</t>
  </si>
  <si>
    <t>Провідн.бухгалтер</t>
  </si>
  <si>
    <t>Бухгалтер 1 кат.</t>
  </si>
  <si>
    <t>Бухгалтер 2 кат.</t>
  </si>
  <si>
    <t>Бухгалтер</t>
  </si>
  <si>
    <t>Ст.кассир</t>
  </si>
  <si>
    <t>Пров.інженер-прогр.</t>
  </si>
  <si>
    <t>Військово-мобілізаційний відділ</t>
  </si>
  <si>
    <t>Методичний відділ</t>
  </si>
  <si>
    <t>Навчально-методичний відділ стандартизації</t>
  </si>
  <si>
    <t>Відділ постачання</t>
  </si>
  <si>
    <t>Ст.товарознавець (з в/о)</t>
  </si>
  <si>
    <t>Товарознавець( з в\о)</t>
  </si>
  <si>
    <t>Зав.складом</t>
  </si>
  <si>
    <t>Вантажник</t>
  </si>
  <si>
    <t>Центр заочного навчання</t>
  </si>
  <si>
    <t>Інженер -програміст 1 к</t>
  </si>
  <si>
    <t>Всього</t>
  </si>
  <si>
    <t>Господарчий відділ</t>
  </si>
  <si>
    <t>Комендант</t>
  </si>
  <si>
    <t>Дезинфектор</t>
  </si>
  <si>
    <t>Технік</t>
  </si>
  <si>
    <t>Прибиральник</t>
  </si>
  <si>
    <t>Гардеробник</t>
  </si>
  <si>
    <t>Двірник</t>
  </si>
  <si>
    <t>Слюсар 6 р.</t>
  </si>
  <si>
    <t>Слюсар 5 р.</t>
  </si>
  <si>
    <t>Слюсар 3 р.</t>
  </si>
  <si>
    <t>Слюсар2 р.</t>
  </si>
  <si>
    <t>Підсобний робітник</t>
  </si>
  <si>
    <t>Столяр 6 р.</t>
  </si>
  <si>
    <t>Столяр 5 р.</t>
  </si>
  <si>
    <t>Столяр 3 р.</t>
  </si>
  <si>
    <t>Палац студентів</t>
  </si>
  <si>
    <t>Директор палацу студентів</t>
  </si>
  <si>
    <t>Ст.комірник</t>
  </si>
  <si>
    <t>Черговий</t>
  </si>
  <si>
    <t>Електромонтер 5 р.</t>
  </si>
  <si>
    <t>Відділ слабострумних мереж</t>
  </si>
  <si>
    <t>Редакційно-видавничий відділ</t>
  </si>
  <si>
    <t>Юридичний відділ</t>
  </si>
  <si>
    <t>Заступник начальника відділу</t>
  </si>
  <si>
    <t>Провідний юрисконсульт</t>
  </si>
  <si>
    <t>Юрисконсульт 1 кат.</t>
  </si>
  <si>
    <t xml:space="preserve">Юрисконсульт </t>
  </si>
  <si>
    <t>Оперативно-диспетчерський відділ</t>
  </si>
  <si>
    <t>Нач.відділу-головний диспетчер</t>
  </si>
  <si>
    <t>Експлуатаційно-технічний відділ</t>
  </si>
  <si>
    <t>Слюсар-сантехнік 6 р.</t>
  </si>
  <si>
    <t>Слюсар-сантехнік 5 р.</t>
  </si>
  <si>
    <t>Слюсар-сантехнік 4 р.</t>
  </si>
  <si>
    <t>Слюсар-сантехнік 3 р.</t>
  </si>
  <si>
    <t>Слюсар-вентиляц.6 р.</t>
  </si>
  <si>
    <t>Слюсар-вентиляц.5 р.</t>
  </si>
  <si>
    <t>Слюсар-вентиляц.3 р.</t>
  </si>
  <si>
    <t>Слюсар 4 р.</t>
  </si>
  <si>
    <t>Електрогазозварник  6 р.</t>
  </si>
  <si>
    <t>Електрогазозварник 5 р.</t>
  </si>
  <si>
    <t>Столяр 4 р.</t>
  </si>
  <si>
    <t>Муляр 6 р.</t>
  </si>
  <si>
    <t>Муляр 5 р.</t>
  </si>
  <si>
    <t>Муляр 4 р.</t>
  </si>
  <si>
    <t>Муляр 3 р.</t>
  </si>
  <si>
    <t>Штукатур 5 р.</t>
  </si>
  <si>
    <t>Штукатур 4 р.</t>
  </si>
  <si>
    <t>Покрівельник 6 р.</t>
  </si>
  <si>
    <t>Покрівельник 4 р.</t>
  </si>
  <si>
    <t>Відділ головного енергетика</t>
  </si>
  <si>
    <t>Головний енергетик</t>
  </si>
  <si>
    <t>Електромонтер 6 р.</t>
  </si>
  <si>
    <t>Електромонтер 3 р.</t>
  </si>
  <si>
    <t>Електромонтер 2 р.</t>
  </si>
  <si>
    <t>Електрик 6 р</t>
  </si>
  <si>
    <t>Електрик 3 р</t>
  </si>
  <si>
    <t>Друкарня НТУ"ХПІ"</t>
  </si>
  <si>
    <t>Бібліотека</t>
  </si>
  <si>
    <t>Директор</t>
  </si>
  <si>
    <t>Зам.директора</t>
  </si>
  <si>
    <t>Вчений секретар</t>
  </si>
  <si>
    <t>Зав.відділом</t>
  </si>
  <si>
    <t>Зав.сектором</t>
  </si>
  <si>
    <t>Гол.бібліотекар</t>
  </si>
  <si>
    <t>Гол.бібліограф</t>
  </si>
  <si>
    <t>Провідний бібліотекар</t>
  </si>
  <si>
    <t>Провідний бібліограф</t>
  </si>
  <si>
    <t>Бібліотекар 1 кат.</t>
  </si>
  <si>
    <t>Бібліограф 1 кат.</t>
  </si>
  <si>
    <t>Бібліотекар 2 к</t>
  </si>
  <si>
    <t xml:space="preserve">Бібліотекар </t>
  </si>
  <si>
    <t>Інженер-програміст 1 к.</t>
  </si>
  <si>
    <t>Відділ експлуатації спортспоруди</t>
  </si>
  <si>
    <t>Нач. відділу експлуа-тації спортспоруди</t>
  </si>
  <si>
    <t>Ремонтувальник 5 р.</t>
  </si>
  <si>
    <t>Ремонтувальник 4 р.</t>
  </si>
  <si>
    <t>Ремонтувальник 3 р.</t>
  </si>
  <si>
    <t>Оператор теплопункта 6 р.</t>
  </si>
  <si>
    <t>Оператор теплопункта 4 р.</t>
  </si>
  <si>
    <t>Слюсар по обсл.та ремонту 3 р.</t>
  </si>
  <si>
    <t>Слюсар по обсл.та ремонту 4 р.</t>
  </si>
  <si>
    <t>Слюсар по обсл.та ремонту 5 р.</t>
  </si>
  <si>
    <t>Висококвал.робітник</t>
  </si>
  <si>
    <t>Слюсар-ремонтник 6 р.</t>
  </si>
  <si>
    <t>Слюсар-ремонтник 5 р.</t>
  </si>
  <si>
    <t>Черговий по роздя-гальному відділенню</t>
  </si>
  <si>
    <t>Маляр 6 р.</t>
  </si>
  <si>
    <t>Тесляр 5 р.</t>
  </si>
  <si>
    <t>Електрогазосвар. 6 р.</t>
  </si>
  <si>
    <t>Навчальний та технологічний центр</t>
  </si>
  <si>
    <t>Лабораторія по вивченню та збереженню історико-культурної спадщини України та НТУ"ХПІ"</t>
  </si>
  <si>
    <t>Інженер-програміст</t>
  </si>
  <si>
    <t>Відділ з питань надзвичайних ситуацій та цивільного захисту населення</t>
  </si>
  <si>
    <t>Інженер 1к</t>
  </si>
  <si>
    <t>Центр медіакомунікацій</t>
  </si>
  <si>
    <t>Керівник Центру</t>
  </si>
  <si>
    <t>Заступник керівника центру</t>
  </si>
  <si>
    <t>Інформаційно-обчислювальний центр</t>
  </si>
  <si>
    <t>Нач.центру</t>
  </si>
  <si>
    <t>Інж.-програм. 1 кат.</t>
  </si>
  <si>
    <t>Інж.-програм. 2 кат.</t>
  </si>
  <si>
    <t>Інж-єлектр.1 кат.</t>
  </si>
  <si>
    <t>Зав.навч.лаб.,к.т.н.</t>
  </si>
  <si>
    <t>Зав.навч.лаб.</t>
  </si>
  <si>
    <t>Відділ охорони праці</t>
  </si>
  <si>
    <t>Навчально-виробничий центр</t>
  </si>
  <si>
    <t>Комірник</t>
  </si>
  <si>
    <t>Прибиральница</t>
  </si>
  <si>
    <t>Електрогазозварник    6 р.</t>
  </si>
  <si>
    <t>Робітник 5 р.</t>
  </si>
  <si>
    <t>Робітник 4р.</t>
  </si>
  <si>
    <t>Жерстянник 6 р.</t>
  </si>
  <si>
    <t>Слюсар-вентил.5 р.</t>
  </si>
  <si>
    <t>Ст.лабор. б/о</t>
  </si>
  <si>
    <t>Р А З О М     по іншим категоріям працівників</t>
  </si>
  <si>
    <t xml:space="preserve">Р А З О М     </t>
  </si>
  <si>
    <t xml:space="preserve">Р А З О М         по загальному фонду </t>
  </si>
  <si>
    <t>c  п  е  ц  і  а  л  ь  н  и  й      ф  о  н  д</t>
  </si>
  <si>
    <t>Разом  по АУП</t>
  </si>
  <si>
    <t>Доцент</t>
  </si>
  <si>
    <t>Ст.виклад</t>
  </si>
  <si>
    <t xml:space="preserve">Викладач,асистент </t>
  </si>
  <si>
    <t>Викладач-стажист</t>
  </si>
  <si>
    <t>Разом по ПВС</t>
  </si>
  <si>
    <t>Інші НПП</t>
  </si>
  <si>
    <t>Заступник директора з науково-педагогічної роботи</t>
  </si>
  <si>
    <t>Кафедри</t>
  </si>
  <si>
    <t>Ст.лабор.без в/о</t>
  </si>
  <si>
    <t>Технік 1 к</t>
  </si>
  <si>
    <t>Водій</t>
  </si>
  <si>
    <t>Інші робітники</t>
  </si>
  <si>
    <t>Р А З О М    УДП</t>
  </si>
  <si>
    <t>Інженер-прогр. 1 кат.</t>
  </si>
  <si>
    <t xml:space="preserve">Оператор </t>
  </si>
  <si>
    <t>Р А З О М    ОЦ</t>
  </si>
  <si>
    <t>Радник ректора</t>
  </si>
  <si>
    <t>Помічник ректора</t>
  </si>
  <si>
    <t>Відділ експлуатаціїї спортпоруд</t>
  </si>
  <si>
    <t>Зав.спортспоруд</t>
  </si>
  <si>
    <t>Зав.басейном</t>
  </si>
  <si>
    <t>Лікар лікувальної фізкультури та спортивної медицини</t>
  </si>
  <si>
    <t>Медсестра</t>
  </si>
  <si>
    <t>Нач.інжен.-техн.служби</t>
  </si>
  <si>
    <t>Адміністратор</t>
  </si>
  <si>
    <t>Черговий по залу</t>
  </si>
  <si>
    <t>Сторож</t>
  </si>
  <si>
    <t>Прибиральниця</t>
  </si>
  <si>
    <t>Дезінфектор</t>
  </si>
  <si>
    <t>Апаратчик хімводооч.3р</t>
  </si>
  <si>
    <t>Cтоляр 6 р.</t>
  </si>
  <si>
    <t>Відділ міжнародних зв'язків</t>
  </si>
  <si>
    <t>Зам. нач. відділу</t>
  </si>
  <si>
    <t>Пров.інженер</t>
  </si>
  <si>
    <t xml:space="preserve">Ст. інспектор </t>
  </si>
  <si>
    <t>Перекладач англійськ.
 мов</t>
  </si>
  <si>
    <t>Перекладач англійськ.
та китайської мов</t>
  </si>
  <si>
    <t>Перекладач німецької
мови</t>
  </si>
  <si>
    <t>Деканати</t>
  </si>
  <si>
    <t>Інженер 1 к.</t>
  </si>
  <si>
    <t>Інженер 2 к.</t>
  </si>
  <si>
    <t>Інженер - прогр.1 к.</t>
  </si>
  <si>
    <t>Секретар</t>
  </si>
  <si>
    <t>Керівник центру</t>
  </si>
  <si>
    <t>Навчальний  та технологічний центр</t>
  </si>
  <si>
    <t>Ст.лаборант б\о</t>
  </si>
  <si>
    <t>Лаборант</t>
  </si>
  <si>
    <t>Оператор по експлуатації та обслугов.котелень 3 р.</t>
  </si>
  <si>
    <t>Студмістечко</t>
  </si>
  <si>
    <t>Заcтупник директора</t>
  </si>
  <si>
    <t>Нач.служби експлуат</t>
  </si>
  <si>
    <t>Нач.справки паспортного столу</t>
  </si>
  <si>
    <t>Зав.гуртожит</t>
  </si>
  <si>
    <t>Паспортист</t>
  </si>
  <si>
    <t xml:space="preserve">Економіст </t>
  </si>
  <si>
    <t>Технік по обслуговуванню приміщень</t>
  </si>
  <si>
    <t>Зав.камерою схову-кастелянша</t>
  </si>
  <si>
    <t>Черговий по гуртож</t>
  </si>
  <si>
    <t>Черговий по поверху</t>
  </si>
  <si>
    <t>Столяр 6 р</t>
  </si>
  <si>
    <t>Столяр5 р</t>
  </si>
  <si>
    <t>Столяр4 р</t>
  </si>
  <si>
    <t>Столяр3 р</t>
  </si>
  <si>
    <t>Столяр2 р</t>
  </si>
  <si>
    <t>Електромонтер 4 р.</t>
  </si>
  <si>
    <t>Робітник по ремонту та обслуг.споруд</t>
  </si>
  <si>
    <t>Ліфтер</t>
  </si>
  <si>
    <t xml:space="preserve">Черговий </t>
  </si>
  <si>
    <t>Гараж</t>
  </si>
  <si>
    <t xml:space="preserve">Бухгалтер </t>
  </si>
  <si>
    <t>Механік</t>
  </si>
  <si>
    <t>Cлюсар з ремонту рухомого складу 5р</t>
  </si>
  <si>
    <t>Водій самохідних механізмів</t>
  </si>
  <si>
    <t>Тракторист</t>
  </si>
  <si>
    <t>Чернівецький факультет при НТУ"ХПІ"</t>
  </si>
  <si>
    <t>Інженер 1 к</t>
  </si>
  <si>
    <t>Cпорттабір "Політехнік"</t>
  </si>
  <si>
    <t>Оператор котельної     3 р.</t>
  </si>
  <si>
    <t>Бухгалтер 1 к. *</t>
  </si>
  <si>
    <t>Медсестра *</t>
  </si>
  <si>
    <t>Матрос-рятівник *</t>
  </si>
  <si>
    <t>Режисер-постановник масових заходів</t>
  </si>
  <si>
    <t>Керівник колективу молодіжних ініціатив</t>
  </si>
  <si>
    <t xml:space="preserve">Керівник клубу організації дозвілля </t>
  </si>
  <si>
    <t xml:space="preserve">Завідуючий  сектором </t>
  </si>
  <si>
    <t>Нач.відділу постачання</t>
  </si>
  <si>
    <t>Керівник танц.ансамблю"Засл"</t>
  </si>
  <si>
    <t>Керівник Центру дозвілля</t>
  </si>
  <si>
    <t>Керівник нар.театру "Політехнік"</t>
  </si>
  <si>
    <t>Керівник Камерного хору</t>
  </si>
  <si>
    <t>Хормейстер Камерного хору</t>
  </si>
  <si>
    <t xml:space="preserve">Концертмейстер Камерного хору </t>
  </si>
  <si>
    <t>Керівник нар.ансамблю "Єдність"</t>
  </si>
  <si>
    <t>Керівник ансамблю народних інструментів</t>
  </si>
  <si>
    <t>Концертмейстер ансамблю народних інструментів 1 к</t>
  </si>
  <si>
    <t>Концертмейстер естрадного ансамблю 1 к.</t>
  </si>
  <si>
    <t>Керівник колект.</t>
  </si>
  <si>
    <t>Керівник студії</t>
  </si>
  <si>
    <t>Керівник ансамблю бального танцю</t>
  </si>
  <si>
    <t>Керівник театру "Вітражи"</t>
  </si>
  <si>
    <t>Керівник ансамблю сучасного танцю"Геліос"</t>
  </si>
  <si>
    <t>Керівник вокального ансамблю</t>
  </si>
  <si>
    <t>Керівник камерного оркестру "Крещендо"</t>
  </si>
  <si>
    <t>Концертмейстер 1 кат.</t>
  </si>
  <si>
    <t>Концертмейстер 2 к</t>
  </si>
  <si>
    <t>Зав.постановчою частиною</t>
  </si>
  <si>
    <t>Редакція газети "Політехнік"</t>
  </si>
  <si>
    <t>Пров.редактор</t>
  </si>
  <si>
    <t>Редактор1 к.</t>
  </si>
  <si>
    <t>Редактор 2 к.</t>
  </si>
  <si>
    <t>Начально-методичний відділ договорної та практичної підготовки</t>
  </si>
  <si>
    <t>Методист в\к</t>
  </si>
  <si>
    <t>Методист 1к</t>
  </si>
  <si>
    <t>Методист 2к</t>
  </si>
  <si>
    <t>Начально-методичний відділ підготовки спеціалістів вищої кваліфікації</t>
  </si>
  <si>
    <t>Бібліотекар 2 кат.</t>
  </si>
  <si>
    <t xml:space="preserve">Музей </t>
  </si>
  <si>
    <t>Гол.зберігач фондів</t>
  </si>
  <si>
    <t>Слюсар - сантехнік 6 р</t>
  </si>
  <si>
    <t>Слюсар - сантехнік 5 р</t>
  </si>
  <si>
    <t>Електрогазозварник 4 р</t>
  </si>
  <si>
    <t>Столяр6 р.</t>
  </si>
  <si>
    <t>Столяр4 р.</t>
  </si>
  <si>
    <t>Каменяр 5 р.</t>
  </si>
  <si>
    <t>Персонал</t>
  </si>
  <si>
    <t>Центр підготовки іноземних громадян</t>
  </si>
  <si>
    <t>Економіст-бухгал.1 к.</t>
  </si>
  <si>
    <t>Центр контрактного навчання</t>
  </si>
  <si>
    <t>Житлові будинки</t>
  </si>
  <si>
    <t>Нач.ЖЕВ</t>
  </si>
  <si>
    <t>Ел.монтер 5 р.</t>
  </si>
  <si>
    <t>КГХ "Славутич" НТУ "ХПІ"</t>
  </si>
  <si>
    <t>Ст.товарознав.без в\о</t>
  </si>
  <si>
    <t>Касир інкасат.</t>
  </si>
  <si>
    <t>Касир торг.зал.</t>
  </si>
  <si>
    <t>Кондитер 6 р.</t>
  </si>
  <si>
    <t>Кондитер 5 р.</t>
  </si>
  <si>
    <t>Буфетник 5 р.</t>
  </si>
  <si>
    <t>Буфетник 4 р.</t>
  </si>
  <si>
    <t>Буфетник 3 р.</t>
  </si>
  <si>
    <t xml:space="preserve">Кухонний робітник </t>
  </si>
  <si>
    <t>Машиніст п/м машин</t>
  </si>
  <si>
    <t>Мийщик посуду</t>
  </si>
  <si>
    <t>Кухар  6 р.</t>
  </si>
  <si>
    <t>Кухар  5 р.</t>
  </si>
  <si>
    <t>Кухар  4 р.</t>
  </si>
  <si>
    <t>Кухар  3 р.</t>
  </si>
  <si>
    <t>Центр дистанційної та доуніверсітетської підготовки</t>
  </si>
  <si>
    <t>Директор під. курсів</t>
  </si>
  <si>
    <t>Зас. дир. Під.курсів</t>
  </si>
  <si>
    <t>Інженер-прогр.1 кат.</t>
  </si>
  <si>
    <t>Діловод</t>
  </si>
  <si>
    <t>Зав.навч. лаборат</t>
  </si>
  <si>
    <t>Інженер 1кат.</t>
  </si>
  <si>
    <t>Навчально-методичний  відділ</t>
  </si>
  <si>
    <t>Бібліотекар  2 к</t>
  </si>
  <si>
    <t>Старший інспектор кадрів</t>
  </si>
  <si>
    <t>Заст.гол.бухг.</t>
  </si>
  <si>
    <t>Начальник експ-тех відділ</t>
  </si>
  <si>
    <t>Електромонтер 6 розр.</t>
  </si>
  <si>
    <t>Оператор котельні</t>
  </si>
  <si>
    <t>Сантехнік 6 розр.</t>
  </si>
  <si>
    <t>Господарський відділ</t>
  </si>
  <si>
    <t>Зав.господ.</t>
  </si>
  <si>
    <t xml:space="preserve">Міжгалузевий інститут післядипломної освіти НТУ"ХПІ" </t>
  </si>
  <si>
    <t>Дирекція</t>
  </si>
  <si>
    <t xml:space="preserve">Головний бухгалтер </t>
  </si>
  <si>
    <t>Бухгалтер 1 категорії</t>
  </si>
  <si>
    <t xml:space="preserve"> Ст.інспектор з кадрів</t>
  </si>
  <si>
    <t>Навчальна лабораторія ПЕОМ</t>
  </si>
  <si>
    <t>Інженер 1 категорії</t>
  </si>
  <si>
    <t xml:space="preserve">Навчально-методичний відділ післядимломної безперервної інженерної освіти </t>
  </si>
  <si>
    <t>Керівник відділу</t>
  </si>
  <si>
    <t>Методист  вищ. кат.</t>
  </si>
  <si>
    <t>Методист 2 категорії</t>
  </si>
  <si>
    <t xml:space="preserve"> Разом: </t>
  </si>
  <si>
    <t>Інфрмаційно-обчислювальний центр</t>
  </si>
  <si>
    <t xml:space="preserve">Начальник </t>
  </si>
  <si>
    <t>Інженер 1-Ї кат.</t>
  </si>
  <si>
    <t>Завідуючий господарством</t>
  </si>
  <si>
    <t>Інженер з ремонту 1 кат</t>
  </si>
  <si>
    <t>Прибиральник приміщень</t>
  </si>
  <si>
    <t>Гуртожиток</t>
  </si>
  <si>
    <t>Разом по спеціальному фонду</t>
  </si>
  <si>
    <t>Всього по НТУ "ХПІ"</t>
  </si>
  <si>
    <t>Ректор НТУ "ХПІ"</t>
  </si>
  <si>
    <t>Голова ППО</t>
  </si>
  <si>
    <t>А.Й.Фомін</t>
  </si>
  <si>
    <t>Заступник Міністра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</si>
</sst>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г_р_н_._-;\-* #,##0.00_г_р_н_._-;_-* &quot;-&quot;??_г_р_н_._-;_-@_-"/>
    <numFmt numFmtId="166" formatCode="_-* #,##0.0_г_р_н_._-;\-* #,##0.0_г_р_н_._-;_-* &quot;-&quot;??_г_р_н_._-;_-@_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9"/>
      <name val="Arial Cyr"/>
      <family val="2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Black"/>
      <family val="2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7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/>
    <xf numFmtId="2" fontId="11" fillId="0" borderId="11" xfId="0" applyNumberFormat="1" applyFont="1" applyFill="1" applyBorder="1"/>
    <xf numFmtId="1" fontId="11" fillId="0" borderId="11" xfId="0" applyNumberFormat="1" applyFont="1" applyFill="1" applyBorder="1"/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ill="1" applyBorder="1"/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" fillId="0" borderId="0" xfId="0" applyFont="1" applyFill="1"/>
    <xf numFmtId="0" fontId="13" fillId="0" borderId="11" xfId="0" applyFont="1" applyFill="1" applyBorder="1"/>
    <xf numFmtId="2" fontId="5" fillId="0" borderId="11" xfId="0" applyNumberFormat="1" applyFont="1" applyFill="1" applyBorder="1"/>
    <xf numFmtId="0" fontId="1" fillId="0" borderId="11" xfId="0" applyFont="1" applyFill="1" applyBorder="1"/>
    <xf numFmtId="0" fontId="5" fillId="0" borderId="11" xfId="0" applyFont="1" applyFill="1" applyBorder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2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20" fillId="0" borderId="0" xfId="0" applyNumberFormat="1" applyFont="1" applyFill="1" applyAlignment="1"/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right"/>
    </xf>
    <xf numFmtId="0" fontId="21" fillId="0" borderId="0" xfId="0" applyFont="1" applyFill="1"/>
    <xf numFmtId="0" fontId="1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8" fillId="0" borderId="0" xfId="0" applyFont="1" applyFill="1"/>
    <xf numFmtId="0" fontId="18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5" fillId="0" borderId="7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/>
    <xf numFmtId="2" fontId="9" fillId="0" borderId="11" xfId="0" applyNumberFormat="1" applyFont="1" applyFill="1" applyBorder="1"/>
    <xf numFmtId="0" fontId="9" fillId="0" borderId="1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2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/>
    <xf numFmtId="0" fontId="25" fillId="0" borderId="11" xfId="0" applyFont="1" applyFill="1" applyBorder="1" applyAlignment="1">
      <alignment horizontal="justify" vertical="center"/>
    </xf>
    <xf numFmtId="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3" xfId="0" applyFont="1" applyFill="1" applyBorder="1"/>
    <xf numFmtId="2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left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2" fontId="1" fillId="0" borderId="11" xfId="0" applyNumberFormat="1" applyFont="1" applyFill="1" applyBorder="1" applyAlignment="1"/>
    <xf numFmtId="0" fontId="25" fillId="0" borderId="11" xfId="0" applyFont="1" applyFill="1" applyBorder="1" applyAlignment="1"/>
    <xf numFmtId="0" fontId="25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164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/>
    </xf>
    <xf numFmtId="164" fontId="1" fillId="0" borderId="11" xfId="0" applyNumberFormat="1" applyFont="1" applyFill="1" applyBorder="1"/>
    <xf numFmtId="2" fontId="4" fillId="0" borderId="11" xfId="0" applyNumberFormat="1" applyFont="1" applyFill="1" applyBorder="1"/>
    <xf numFmtId="0" fontId="1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2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justify" vertical="center" wrapText="1"/>
    </xf>
    <xf numFmtId="1" fontId="4" fillId="0" borderId="11" xfId="0" applyNumberFormat="1" applyFont="1" applyFill="1" applyBorder="1"/>
    <xf numFmtId="164" fontId="4" fillId="0" borderId="11" xfId="0" applyNumberFormat="1" applyFont="1" applyFill="1" applyBorder="1"/>
    <xf numFmtId="0" fontId="25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/>
    </xf>
    <xf numFmtId="0" fontId="11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>
      <alignment horizontal="right" vertical="center"/>
    </xf>
    <xf numFmtId="1" fontId="25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wrapText="1"/>
    </xf>
    <xf numFmtId="0" fontId="27" fillId="0" borderId="11" xfId="0" applyNumberFormat="1" applyFont="1" applyFill="1" applyBorder="1" applyAlignment="1">
      <alignment wrapText="1"/>
    </xf>
    <xf numFmtId="2" fontId="27" fillId="0" borderId="11" xfId="0" applyNumberFormat="1" applyFont="1" applyFill="1" applyBorder="1" applyAlignment="1">
      <alignment wrapText="1"/>
    </xf>
    <xf numFmtId="1" fontId="27" fillId="0" borderId="11" xfId="0" applyNumberFormat="1" applyFont="1" applyFill="1" applyBorder="1" applyAlignment="1">
      <alignment wrapText="1"/>
    </xf>
    <xf numFmtId="0" fontId="27" fillId="0" borderId="0" xfId="0" applyFont="1" applyFill="1"/>
    <xf numFmtId="0" fontId="14" fillId="0" borderId="11" xfId="0" applyFont="1" applyFill="1" applyBorder="1" applyAlignment="1">
      <alignment horizontal="center"/>
    </xf>
    <xf numFmtId="9" fontId="27" fillId="0" borderId="11" xfId="0" applyNumberFormat="1" applyFont="1" applyFill="1" applyBorder="1" applyAlignment="1">
      <alignment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/>
    <xf numFmtId="164" fontId="1" fillId="0" borderId="11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5" fillId="0" borderId="9" xfId="0" applyFont="1" applyFill="1" applyBorder="1"/>
    <xf numFmtId="0" fontId="25" fillId="0" borderId="11" xfId="0" applyFont="1" applyFill="1" applyBorder="1"/>
    <xf numFmtId="2" fontId="25" fillId="0" borderId="11" xfId="0" applyNumberFormat="1" applyFont="1" applyFill="1" applyBorder="1"/>
    <xf numFmtId="2" fontId="25" fillId="0" borderId="1" xfId="0" applyNumberFormat="1" applyFont="1" applyFill="1" applyBorder="1" applyAlignment="1">
      <alignment horizontal="right"/>
    </xf>
    <xf numFmtId="0" fontId="25" fillId="0" borderId="3" xfId="0" applyFont="1" applyFill="1" applyBorder="1"/>
    <xf numFmtId="0" fontId="4" fillId="0" borderId="3" xfId="0" applyFont="1" applyFill="1" applyBorder="1"/>
    <xf numFmtId="0" fontId="4" fillId="0" borderId="15" xfId="0" applyFont="1" applyFill="1" applyBorder="1"/>
    <xf numFmtId="1" fontId="25" fillId="0" borderId="11" xfId="0" applyNumberFormat="1" applyFont="1" applyFill="1" applyBorder="1"/>
    <xf numFmtId="2" fontId="12" fillId="0" borderId="11" xfId="0" applyNumberFormat="1" applyFont="1" applyFill="1" applyBorder="1"/>
    <xf numFmtId="0" fontId="1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0" fontId="29" fillId="0" borderId="3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wrapText="1"/>
    </xf>
    <xf numFmtId="1" fontId="30" fillId="0" borderId="11" xfId="0" applyNumberFormat="1" applyFont="1" applyFill="1" applyBorder="1" applyAlignment="1">
      <alignment vertical="center" wrapText="1"/>
    </xf>
    <xf numFmtId="1" fontId="30" fillId="0" borderId="11" xfId="0" applyNumberFormat="1" applyFont="1" applyFill="1" applyBorder="1" applyAlignment="1">
      <alignment wrapText="1"/>
    </xf>
    <xf numFmtId="0" fontId="29" fillId="0" borderId="3" xfId="0" applyFont="1" applyFill="1" applyBorder="1" applyAlignment="1">
      <alignment horizontal="right" wrapText="1"/>
    </xf>
    <xf numFmtId="0" fontId="29" fillId="0" borderId="5" xfId="0" applyFont="1" applyFill="1" applyBorder="1" applyAlignment="1">
      <alignment horizontal="right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vertical="center" wrapText="1"/>
    </xf>
    <xf numFmtId="2" fontId="29" fillId="0" borderId="11" xfId="0" applyNumberFormat="1" applyFont="1" applyFill="1" applyBorder="1" applyAlignment="1">
      <alignment vertical="center" wrapText="1"/>
    </xf>
    <xf numFmtId="164" fontId="29" fillId="0" borderId="1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wrapText="1"/>
    </xf>
    <xf numFmtId="0" fontId="30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2" fontId="30" fillId="0" borderId="11" xfId="0" applyNumberFormat="1" applyFont="1" applyFill="1" applyBorder="1" applyAlignment="1">
      <alignment horizontal="center" wrapText="1"/>
    </xf>
    <xf numFmtId="0" fontId="29" fillId="0" borderId="3" xfId="0" applyNumberFormat="1" applyFont="1" applyFill="1" applyBorder="1" applyAlignment="1">
      <alignment horizontal="right" wrapText="1"/>
    </xf>
    <xf numFmtId="0" fontId="29" fillId="0" borderId="5" xfId="0" applyNumberFormat="1" applyFont="1" applyFill="1" applyBorder="1" applyAlignment="1">
      <alignment horizontal="right" wrapText="1"/>
    </xf>
    <xf numFmtId="0" fontId="29" fillId="0" borderId="11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wrapText="1"/>
    </xf>
    <xf numFmtId="0" fontId="29" fillId="0" borderId="11" xfId="0" applyNumberFormat="1" applyFont="1" applyFill="1" applyBorder="1" applyAlignment="1">
      <alignment wrapText="1"/>
    </xf>
    <xf numFmtId="2" fontId="29" fillId="0" borderId="11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right" wrapText="1"/>
    </xf>
    <xf numFmtId="0" fontId="30" fillId="0" borderId="5" xfId="0" applyFont="1" applyFill="1" applyBorder="1" applyAlignment="1">
      <alignment horizontal="right" wrapText="1"/>
    </xf>
    <xf numFmtId="1" fontId="29" fillId="0" borderId="11" xfId="0" applyNumberFormat="1" applyFont="1" applyFill="1" applyBorder="1" applyAlignment="1">
      <alignment wrapText="1"/>
    </xf>
    <xf numFmtId="0" fontId="30" fillId="0" borderId="11" xfId="0" applyNumberFormat="1" applyFont="1" applyFill="1" applyBorder="1" applyAlignment="1">
      <alignment vertical="justify" wrapText="1"/>
    </xf>
    <xf numFmtId="0" fontId="29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wrapText="1"/>
    </xf>
    <xf numFmtId="166" fontId="29" fillId="0" borderId="11" xfId="1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" fontId="9" fillId="0" borderId="11" xfId="0" applyNumberFormat="1" applyFont="1" applyFill="1" applyBorder="1"/>
    <xf numFmtId="1" fontId="6" fillId="0" borderId="11" xfId="0" applyNumberFormat="1" applyFont="1" applyFill="1" applyBorder="1"/>
    <xf numFmtId="0" fontId="25" fillId="0" borderId="0" xfId="0" applyFont="1" applyFill="1"/>
    <xf numFmtId="2" fontId="9" fillId="0" borderId="0" xfId="0" applyNumberFormat="1" applyFont="1" applyFill="1" applyBorder="1"/>
    <xf numFmtId="1" fontId="5" fillId="0" borderId="11" xfId="0" applyNumberFormat="1" applyFont="1" applyFill="1" applyBorder="1"/>
    <xf numFmtId="0" fontId="25" fillId="0" borderId="16" xfId="0" applyFont="1" applyFill="1" applyBorder="1"/>
    <xf numFmtId="0" fontId="9" fillId="0" borderId="17" xfId="0" applyFont="1" applyFill="1" applyBorder="1"/>
    <xf numFmtId="2" fontId="9" fillId="0" borderId="17" xfId="0" applyNumberFormat="1" applyFont="1" applyFill="1" applyBorder="1"/>
    <xf numFmtId="2" fontId="6" fillId="0" borderId="17" xfId="0" applyNumberFormat="1" applyFont="1" applyFill="1" applyBorder="1"/>
    <xf numFmtId="1" fontId="6" fillId="0" borderId="17" xfId="0" applyNumberFormat="1" applyFont="1" applyFill="1" applyBorder="1"/>
    <xf numFmtId="1" fontId="7" fillId="0" borderId="17" xfId="0" applyNumberFormat="1" applyFont="1" applyFill="1" applyBorder="1"/>
    <xf numFmtId="0" fontId="25" fillId="0" borderId="0" xfId="0" applyFont="1" applyFill="1" applyAlignment="1">
      <alignment horizontal="center"/>
    </xf>
    <xf numFmtId="0" fontId="18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5;&#1086;&#1077;%20&#1089;%2001.05.16&#1075;&#1086;&#1076;%20-&#1057;&#1042;&#1054;&#1044;%20&#1084;&#1080;&#1085;%201378%20&#1089;%20&#1083;&#1072;&#1075;&#1077;&#1088;&#1077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редность"/>
      <sheetName val="секретность"/>
      <sheetName val="звед хпи"/>
      <sheetName val="звед"/>
      <sheetName val="якіс хпи"/>
      <sheetName val="якісн"/>
      <sheetName val="типов"/>
      <sheetName val="штати хпи"/>
      <sheetName val="ХПИ"/>
      <sheetName val="штати"/>
    </sheetNames>
    <sheetDataSet>
      <sheetData sheetId="0">
        <row r="20">
          <cell r="B20">
            <v>4339.04</v>
          </cell>
        </row>
      </sheetData>
      <sheetData sheetId="1">
        <row r="6">
          <cell r="B6">
            <v>1929.25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C22">
            <v>1</v>
          </cell>
          <cell r="F22">
            <v>5167</v>
          </cell>
          <cell r="G22">
            <v>2584</v>
          </cell>
          <cell r="N22">
            <v>1551</v>
          </cell>
          <cell r="P22">
            <v>1706</v>
          </cell>
          <cell r="R22">
            <v>1292</v>
          </cell>
        </row>
        <row r="23">
          <cell r="C23">
            <v>5</v>
          </cell>
          <cell r="F23">
            <v>24545</v>
          </cell>
          <cell r="K23">
            <v>1964</v>
          </cell>
          <cell r="N23">
            <v>6873</v>
          </cell>
          <cell r="P23">
            <v>3240</v>
          </cell>
          <cell r="Q23">
            <v>3682</v>
          </cell>
          <cell r="R23">
            <v>1964</v>
          </cell>
          <cell r="S23">
            <v>2210</v>
          </cell>
        </row>
        <row r="24">
          <cell r="C24">
            <v>17</v>
          </cell>
          <cell r="F24">
            <v>81787</v>
          </cell>
          <cell r="N24">
            <v>24537</v>
          </cell>
          <cell r="P24">
            <v>9526</v>
          </cell>
          <cell r="Q24">
            <v>13231</v>
          </cell>
          <cell r="R24">
            <v>3849</v>
          </cell>
          <cell r="S24">
            <v>9382</v>
          </cell>
        </row>
        <row r="37">
          <cell r="C37">
            <v>1065.3</v>
          </cell>
          <cell r="F37">
            <v>4219140</v>
          </cell>
          <cell r="K37">
            <v>21757</v>
          </cell>
          <cell r="L37">
            <v>22589</v>
          </cell>
          <cell r="N37">
            <v>1199257</v>
          </cell>
          <cell r="O37">
            <v>43566</v>
          </cell>
          <cell r="P37">
            <v>256061</v>
          </cell>
          <cell r="Q37">
            <v>513358</v>
          </cell>
          <cell r="R37">
            <v>161528</v>
          </cell>
          <cell r="S37">
            <v>370784</v>
          </cell>
          <cell r="U37">
            <v>9728</v>
          </cell>
        </row>
        <row r="102">
          <cell r="V102">
            <v>51253</v>
          </cell>
        </row>
        <row r="319">
          <cell r="N319">
            <v>40148</v>
          </cell>
          <cell r="Q319">
            <v>765</v>
          </cell>
          <cell r="S319">
            <v>459</v>
          </cell>
        </row>
        <row r="416">
          <cell r="Y416">
            <v>41883200</v>
          </cell>
        </row>
        <row r="417">
          <cell r="Y417">
            <v>489560</v>
          </cell>
        </row>
        <row r="418">
          <cell r="Y418">
            <v>4954010</v>
          </cell>
        </row>
        <row r="419">
          <cell r="Y419">
            <v>936700</v>
          </cell>
        </row>
        <row r="425">
          <cell r="G425">
            <v>5167</v>
          </cell>
          <cell r="J425">
            <v>776</v>
          </cell>
        </row>
        <row r="426">
          <cell r="C426">
            <v>2</v>
          </cell>
          <cell r="F426">
            <v>9818</v>
          </cell>
          <cell r="J426">
            <v>737</v>
          </cell>
          <cell r="N426">
            <v>2946</v>
          </cell>
          <cell r="P426">
            <v>1620</v>
          </cell>
          <cell r="Q426">
            <v>1228</v>
          </cell>
          <cell r="R426">
            <v>982</v>
          </cell>
          <cell r="S426">
            <v>737</v>
          </cell>
        </row>
        <row r="427">
          <cell r="C427">
            <v>4</v>
          </cell>
          <cell r="F427">
            <v>19244</v>
          </cell>
          <cell r="N427">
            <v>5293</v>
          </cell>
          <cell r="P427">
            <v>1588</v>
          </cell>
          <cell r="Q427">
            <v>3609</v>
          </cell>
          <cell r="R427">
            <v>963</v>
          </cell>
          <cell r="S427">
            <v>2166</v>
          </cell>
        </row>
        <row r="441">
          <cell r="C441">
            <v>574.79999999999995</v>
          </cell>
          <cell r="F441">
            <v>2054397.25</v>
          </cell>
          <cell r="J441">
            <v>1216</v>
          </cell>
          <cell r="K441">
            <v>432</v>
          </cell>
          <cell r="L441">
            <v>1653</v>
          </cell>
          <cell r="M441">
            <v>37066</v>
          </cell>
          <cell r="N441">
            <v>402010</v>
          </cell>
          <cell r="O441">
            <v>30185</v>
          </cell>
          <cell r="P441">
            <v>30623</v>
          </cell>
          <cell r="Q441">
            <v>110918</v>
          </cell>
          <cell r="R441">
            <v>18891</v>
          </cell>
          <cell r="S441">
            <v>97806</v>
          </cell>
          <cell r="U441">
            <v>2434</v>
          </cell>
        </row>
        <row r="442">
          <cell r="X442">
            <v>343656.25</v>
          </cell>
        </row>
        <row r="446">
          <cell r="C446">
            <v>1.5</v>
          </cell>
          <cell r="F446">
            <v>6729</v>
          </cell>
          <cell r="N446">
            <v>2020</v>
          </cell>
          <cell r="Q446">
            <v>1683</v>
          </cell>
          <cell r="S446">
            <v>1011</v>
          </cell>
        </row>
        <row r="819">
          <cell r="Y819">
            <v>19588884</v>
          </cell>
        </row>
        <row r="822">
          <cell r="Y822">
            <v>419076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H829"/>
  <sheetViews>
    <sheetView view="pageBreakPreview" topLeftCell="A818" zoomScaleNormal="100" zoomScaleSheetLayoutView="100" workbookViewId="0">
      <selection activeCell="R8" sqref="R8"/>
    </sheetView>
  </sheetViews>
  <sheetFormatPr defaultColWidth="9.109375" defaultRowHeight="13.2" x14ac:dyDescent="0.25"/>
  <cols>
    <col min="1" max="1" width="3.5546875" style="56" customWidth="1"/>
    <col min="2" max="2" width="21.33203125" style="56" customWidth="1"/>
    <col min="3" max="3" width="7.88671875" style="56" customWidth="1"/>
    <col min="4" max="4" width="3.33203125" style="79" customWidth="1"/>
    <col min="5" max="5" width="5.33203125" style="56" customWidth="1"/>
    <col min="6" max="6" width="10.44140625" style="56" customWidth="1"/>
    <col min="7" max="7" width="8.109375" style="56" customWidth="1"/>
    <col min="8" max="8" width="6.6640625" style="56" customWidth="1"/>
    <col min="9" max="9" width="6.109375" style="56" customWidth="1"/>
    <col min="10" max="10" width="5" style="56" customWidth="1"/>
    <col min="11" max="12" width="6.109375" style="56" customWidth="1"/>
    <col min="13" max="13" width="6.33203125" style="56" customWidth="1"/>
    <col min="14" max="14" width="7.88671875" style="56" customWidth="1"/>
    <col min="15" max="15" width="6.6640625" style="56" customWidth="1"/>
    <col min="16" max="16" width="8.109375" style="56" customWidth="1"/>
    <col min="17" max="17" width="6.88671875" style="56" customWidth="1"/>
    <col min="18" max="18" width="9.33203125" style="56" customWidth="1"/>
    <col min="19" max="19" width="8.5546875" style="56" customWidth="1"/>
    <col min="20" max="20" width="6" style="56" customWidth="1"/>
    <col min="21" max="21" width="4.6640625" style="56" customWidth="1"/>
    <col min="22" max="22" width="6.44140625" style="56" customWidth="1"/>
    <col min="23" max="23" width="9" style="56" customWidth="1"/>
    <col min="24" max="24" width="11.44140625" style="56" customWidth="1"/>
    <col min="25" max="25" width="12.6640625" style="56" customWidth="1"/>
    <col min="26" max="27" width="0.109375" style="56" customWidth="1"/>
    <col min="28" max="29" width="9.109375" style="56" hidden="1" customWidth="1"/>
    <col min="30" max="30" width="9.33203125" style="56" bestFit="1" customWidth="1"/>
    <col min="31" max="34" width="9.109375" style="56"/>
    <col min="35" max="16384" width="9.109375" style="4"/>
  </cols>
  <sheetData>
    <row r="1" spans="1:25" ht="40.5" customHeight="1" x14ac:dyDescent="0.55000000000000004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62"/>
      <c r="W1" s="63" t="s">
        <v>56</v>
      </c>
      <c r="X1" s="63"/>
      <c r="Y1" s="63"/>
    </row>
    <row r="2" spans="1:25" ht="15" x14ac:dyDescent="0.25">
      <c r="A2" s="64"/>
      <c r="B2" s="64"/>
      <c r="C2" s="64"/>
      <c r="D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 t="s">
        <v>57</v>
      </c>
      <c r="W2" s="66"/>
      <c r="X2" s="66"/>
      <c r="Y2" s="67">
        <f>C824</f>
        <v>4603.6499999999996</v>
      </c>
    </row>
    <row r="3" spans="1:25" ht="17.399999999999999" x14ac:dyDescent="0.3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5"/>
      <c r="V3" s="66" t="s">
        <v>59</v>
      </c>
      <c r="W3" s="66"/>
      <c r="X3" s="66"/>
      <c r="Y3" s="66"/>
    </row>
    <row r="4" spans="1:25" ht="15" x14ac:dyDescent="0.25">
      <c r="A4" s="69"/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65"/>
      <c r="O4" s="65"/>
      <c r="P4" s="65"/>
      <c r="Q4" s="65"/>
      <c r="R4" s="65"/>
      <c r="S4" s="65"/>
      <c r="T4" s="65"/>
      <c r="U4" s="65"/>
      <c r="V4" s="66" t="s">
        <v>60</v>
      </c>
      <c r="W4" s="66"/>
      <c r="X4" s="66"/>
      <c r="Y4" s="71"/>
    </row>
    <row r="5" spans="1:25" ht="15.6" x14ac:dyDescent="0.3">
      <c r="A5" s="72"/>
      <c r="B5" s="73"/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65"/>
      <c r="O5" s="65"/>
      <c r="P5" s="65"/>
      <c r="Q5" s="65"/>
      <c r="R5" s="65"/>
      <c r="S5" s="65"/>
      <c r="T5" s="65"/>
      <c r="U5" s="65"/>
      <c r="V5" s="75">
        <f>X824</f>
        <v>16146370.75</v>
      </c>
      <c r="W5" s="76"/>
      <c r="X5" s="77" t="s">
        <v>61</v>
      </c>
      <c r="Y5" s="77"/>
    </row>
    <row r="6" spans="1:25" ht="21.75" customHeight="1" x14ac:dyDescent="0.25">
      <c r="B6" s="78"/>
      <c r="V6" s="80"/>
      <c r="W6" s="80"/>
      <c r="X6" s="80"/>
      <c r="Y6" s="80"/>
    </row>
    <row r="7" spans="1:25" ht="28.5" customHeight="1" x14ac:dyDescent="0.25">
      <c r="B7" s="78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 t="s">
        <v>478</v>
      </c>
      <c r="W7" s="82"/>
      <c r="X7" s="82"/>
      <c r="Y7" s="82"/>
    </row>
    <row r="8" spans="1:25" ht="15" x14ac:dyDescent="0.25">
      <c r="B8" s="78"/>
      <c r="V8" s="83"/>
      <c r="W8" s="83"/>
      <c r="X8" s="83"/>
      <c r="Y8" s="4"/>
    </row>
    <row r="9" spans="1:25" ht="28.2" x14ac:dyDescent="0.5">
      <c r="B9" s="84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5"/>
      <c r="W9" s="86" t="s">
        <v>62</v>
      </c>
      <c r="X9" s="86"/>
      <c r="Y9" s="86"/>
    </row>
    <row r="10" spans="1:25" ht="15" x14ac:dyDescent="0.25">
      <c r="B10" s="78"/>
      <c r="N10" s="87"/>
      <c r="O10" s="87"/>
      <c r="P10" s="87"/>
      <c r="Q10" s="87"/>
      <c r="R10" s="87"/>
      <c r="S10" s="87"/>
      <c r="T10" s="87"/>
      <c r="U10" s="87"/>
      <c r="V10" s="87"/>
      <c r="W10" s="88"/>
      <c r="X10" s="88"/>
      <c r="Y10" s="88"/>
    </row>
    <row r="11" spans="1:25" ht="15" x14ac:dyDescent="0.25">
      <c r="B11" s="78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9" t="s">
        <v>63</v>
      </c>
      <c r="Y11" s="78"/>
    </row>
    <row r="12" spans="1:25" ht="15.75" customHeight="1" x14ac:dyDescent="0.25">
      <c r="B12" s="90" t="s">
        <v>64</v>
      </c>
      <c r="C12" s="90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2"/>
    </row>
    <row r="13" spans="1:25" ht="26.25" customHeight="1" x14ac:dyDescent="0.25">
      <c r="B13" s="93"/>
      <c r="C13" s="93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 t="s">
        <v>65</v>
      </c>
      <c r="Y13" s="95"/>
    </row>
    <row r="14" spans="1:25" ht="15" customHeight="1" x14ac:dyDescent="0.25">
      <c r="A14" s="96" t="s">
        <v>3</v>
      </c>
      <c r="B14" s="21" t="s">
        <v>4</v>
      </c>
      <c r="C14" s="97" t="s">
        <v>5</v>
      </c>
      <c r="D14" s="98" t="s">
        <v>66</v>
      </c>
      <c r="E14" s="99" t="s">
        <v>67</v>
      </c>
      <c r="F14" s="100" t="s">
        <v>68</v>
      </c>
      <c r="G14" s="101"/>
      <c r="H14" s="102" t="s">
        <v>7</v>
      </c>
      <c r="I14" s="102"/>
      <c r="J14" s="102"/>
      <c r="K14" s="102"/>
      <c r="L14" s="102"/>
      <c r="M14" s="102"/>
      <c r="N14" s="103"/>
      <c r="O14" s="104" t="s">
        <v>69</v>
      </c>
      <c r="P14" s="105"/>
      <c r="Q14" s="105"/>
      <c r="R14" s="105"/>
      <c r="S14" s="105"/>
      <c r="T14" s="105"/>
      <c r="U14" s="105"/>
      <c r="V14" s="105"/>
      <c r="W14" s="96" t="s">
        <v>9</v>
      </c>
      <c r="X14" s="106" t="s">
        <v>10</v>
      </c>
      <c r="Y14" s="107" t="s">
        <v>10</v>
      </c>
    </row>
    <row r="15" spans="1:25" ht="33" customHeight="1" x14ac:dyDescent="0.25">
      <c r="A15" s="20"/>
      <c r="B15" s="21" t="s">
        <v>11</v>
      </c>
      <c r="C15" s="97"/>
      <c r="D15" s="98"/>
      <c r="E15" s="99"/>
      <c r="F15" s="100"/>
      <c r="G15" s="108" t="s">
        <v>12</v>
      </c>
      <c r="H15" s="109" t="s">
        <v>70</v>
      </c>
      <c r="I15" s="109" t="s">
        <v>14</v>
      </c>
      <c r="J15" s="110" t="s">
        <v>17</v>
      </c>
      <c r="K15" s="109" t="s">
        <v>71</v>
      </c>
      <c r="L15" s="109" t="s">
        <v>18</v>
      </c>
      <c r="M15" s="110" t="s">
        <v>72</v>
      </c>
      <c r="N15" s="111" t="s">
        <v>16</v>
      </c>
      <c r="O15" s="110" t="s">
        <v>73</v>
      </c>
      <c r="P15" s="112" t="s">
        <v>20</v>
      </c>
      <c r="Q15" s="113"/>
      <c r="R15" s="112" t="s">
        <v>21</v>
      </c>
      <c r="S15" s="113"/>
      <c r="T15" s="110" t="s">
        <v>74</v>
      </c>
      <c r="U15" s="110" t="s">
        <v>23</v>
      </c>
      <c r="V15" s="110" t="s">
        <v>75</v>
      </c>
      <c r="W15" s="96" t="s">
        <v>25</v>
      </c>
      <c r="X15" s="21" t="s">
        <v>26</v>
      </c>
      <c r="Y15" s="107" t="s">
        <v>26</v>
      </c>
    </row>
    <row r="16" spans="1:25" ht="15.75" customHeight="1" x14ac:dyDescent="0.25">
      <c r="A16" s="20"/>
      <c r="B16" s="27"/>
      <c r="C16" s="97"/>
      <c r="D16" s="98"/>
      <c r="E16" s="99"/>
      <c r="F16" s="100"/>
      <c r="G16" s="108"/>
      <c r="H16" s="110"/>
      <c r="I16" s="110"/>
      <c r="J16" s="110"/>
      <c r="K16" s="110"/>
      <c r="L16" s="110"/>
      <c r="M16" s="110"/>
      <c r="N16" s="114"/>
      <c r="O16" s="110"/>
      <c r="P16" s="115"/>
      <c r="Q16" s="115"/>
      <c r="R16" s="115"/>
      <c r="S16" s="115"/>
      <c r="T16" s="110"/>
      <c r="U16" s="110"/>
      <c r="V16" s="110"/>
      <c r="W16" s="96" t="s">
        <v>27</v>
      </c>
      <c r="X16" s="21" t="s">
        <v>28</v>
      </c>
      <c r="Y16" s="107" t="s">
        <v>28</v>
      </c>
    </row>
    <row r="17" spans="1:29" ht="63" customHeight="1" x14ac:dyDescent="0.25">
      <c r="A17" s="28"/>
      <c r="B17" s="29"/>
      <c r="C17" s="116"/>
      <c r="D17" s="117"/>
      <c r="E17" s="118"/>
      <c r="F17" s="119"/>
      <c r="G17" s="120"/>
      <c r="H17" s="121"/>
      <c r="I17" s="121"/>
      <c r="J17" s="121"/>
      <c r="K17" s="121"/>
      <c r="L17" s="121"/>
      <c r="M17" s="121"/>
      <c r="N17" s="122"/>
      <c r="O17" s="121"/>
      <c r="P17" s="123" t="s">
        <v>76</v>
      </c>
      <c r="Q17" s="123" t="s">
        <v>77</v>
      </c>
      <c r="R17" s="123" t="s">
        <v>78</v>
      </c>
      <c r="S17" s="123" t="s">
        <v>79</v>
      </c>
      <c r="T17" s="121"/>
      <c r="U17" s="121"/>
      <c r="V17" s="121"/>
      <c r="W17" s="28"/>
      <c r="X17" s="124" t="s">
        <v>80</v>
      </c>
      <c r="Y17" s="125" t="s">
        <v>81</v>
      </c>
    </row>
    <row r="18" spans="1:29" ht="16.5" customHeight="1" x14ac:dyDescent="0.25">
      <c r="A18" s="35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  <c r="H18" s="35">
        <v>8</v>
      </c>
      <c r="I18" s="35">
        <v>9</v>
      </c>
      <c r="J18" s="35">
        <v>10</v>
      </c>
      <c r="K18" s="35">
        <v>11</v>
      </c>
      <c r="L18" s="35">
        <v>12</v>
      </c>
      <c r="M18" s="35">
        <v>13</v>
      </c>
      <c r="N18" s="35">
        <v>14</v>
      </c>
      <c r="O18" s="35">
        <v>15</v>
      </c>
      <c r="P18" s="35">
        <v>16</v>
      </c>
      <c r="Q18" s="35">
        <v>17</v>
      </c>
      <c r="R18" s="35">
        <v>18</v>
      </c>
      <c r="S18" s="35">
        <v>19</v>
      </c>
      <c r="T18" s="35">
        <v>20</v>
      </c>
      <c r="U18" s="35">
        <v>21</v>
      </c>
      <c r="V18" s="35">
        <v>22</v>
      </c>
      <c r="W18" s="35">
        <v>23</v>
      </c>
      <c r="X18" s="35">
        <v>24</v>
      </c>
      <c r="Y18" s="35">
        <v>25</v>
      </c>
      <c r="Z18" s="35">
        <v>26</v>
      </c>
      <c r="AA18" s="35">
        <v>27</v>
      </c>
      <c r="AB18" s="35">
        <v>28</v>
      </c>
      <c r="AC18" s="35">
        <v>29</v>
      </c>
    </row>
    <row r="19" spans="1:29" ht="34.5" customHeight="1" x14ac:dyDescent="0.25">
      <c r="A19" s="126" t="s">
        <v>82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</row>
    <row r="20" spans="1:29" ht="33.75" customHeight="1" x14ac:dyDescent="0.3">
      <c r="A20" s="129" t="s">
        <v>83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1"/>
    </row>
    <row r="21" spans="1:29" ht="24" customHeight="1" x14ac:dyDescent="0.25">
      <c r="A21" s="132"/>
      <c r="B21" s="133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9" ht="28.5" customHeight="1" x14ac:dyDescent="0.25">
      <c r="A22" s="134">
        <v>1</v>
      </c>
      <c r="B22" s="135" t="s">
        <v>84</v>
      </c>
      <c r="C22" s="136">
        <v>1</v>
      </c>
      <c r="D22" s="136">
        <v>24</v>
      </c>
      <c r="E22" s="137">
        <v>5167</v>
      </c>
      <c r="F22" s="138">
        <f>C22*E22</f>
        <v>5167</v>
      </c>
      <c r="G22" s="137">
        <f>ROUNDUP(F22*50%,0)</f>
        <v>2584</v>
      </c>
      <c r="H22" s="137"/>
      <c r="I22" s="137"/>
      <c r="J22" s="137"/>
      <c r="K22" s="137"/>
      <c r="L22" s="137"/>
      <c r="M22" s="137"/>
      <c r="N22" s="137">
        <f>ROUNDUP(E22*1*30%,0)</f>
        <v>1551</v>
      </c>
      <c r="O22" s="137"/>
      <c r="P22" s="137">
        <f>ROUNDUP(E22*1*33%,0)</f>
        <v>1706</v>
      </c>
      <c r="Q22" s="137"/>
      <c r="R22" s="137">
        <f>ROUNDUP(E22*25%,0)</f>
        <v>1292</v>
      </c>
      <c r="S22" s="137"/>
      <c r="T22" s="137"/>
      <c r="U22" s="137"/>
      <c r="V22" s="137"/>
      <c r="W22" s="59">
        <f>SUM(G22:V22)</f>
        <v>7133</v>
      </c>
      <c r="X22" s="139">
        <f>F22+W22</f>
        <v>12300</v>
      </c>
      <c r="Y22" s="139">
        <f>X22*8</f>
        <v>98400</v>
      </c>
    </row>
    <row r="23" spans="1:29" ht="41.25" customHeight="1" x14ac:dyDescent="0.25">
      <c r="A23" s="134">
        <v>2</v>
      </c>
      <c r="B23" s="140" t="s">
        <v>85</v>
      </c>
      <c r="C23" s="136">
        <v>5</v>
      </c>
      <c r="D23" s="136"/>
      <c r="E23" s="137">
        <v>4909</v>
      </c>
      <c r="F23" s="138">
        <f>C23*E23</f>
        <v>24545</v>
      </c>
      <c r="G23" s="138"/>
      <c r="H23" s="137"/>
      <c r="I23" s="137"/>
      <c r="J23" s="137"/>
      <c r="K23" s="137">
        <f>ROUNDUP(E23*2*20%,0)</f>
        <v>1964</v>
      </c>
      <c r="L23" s="137"/>
      <c r="M23" s="137"/>
      <c r="N23" s="137">
        <f>ROUNDUP(E23*4*30%,0)+ROUNDUP(E23*1*20%,0)</f>
        <v>6873</v>
      </c>
      <c r="O23" s="137"/>
      <c r="P23" s="137">
        <f>ROUNDUP(E23*2*33%,0)</f>
        <v>3240</v>
      </c>
      <c r="Q23" s="137">
        <f>ROUNDUP(E23*3*25%,0)</f>
        <v>3682</v>
      </c>
      <c r="R23" s="137">
        <f>ROUNDUP(E23*2*20%,0)</f>
        <v>1964</v>
      </c>
      <c r="S23" s="137">
        <f>ROUNDUP(E23*3*15%,0)</f>
        <v>2210</v>
      </c>
      <c r="T23" s="137"/>
      <c r="U23" s="137"/>
      <c r="V23" s="137"/>
      <c r="W23" s="59">
        <f>SUM(H23:V23)</f>
        <v>19933</v>
      </c>
      <c r="X23" s="139">
        <f>F23+W23</f>
        <v>44478</v>
      </c>
      <c r="Y23" s="139">
        <f>X23*8</f>
        <v>355824</v>
      </c>
    </row>
    <row r="24" spans="1:29" ht="27" customHeight="1" x14ac:dyDescent="0.25">
      <c r="A24" s="134">
        <v>3</v>
      </c>
      <c r="B24" s="135" t="s">
        <v>86</v>
      </c>
      <c r="C24" s="136">
        <v>17</v>
      </c>
      <c r="D24" s="136">
        <v>22</v>
      </c>
      <c r="E24" s="137">
        <v>4811</v>
      </c>
      <c r="F24" s="138">
        <f>C24*E24</f>
        <v>81787</v>
      </c>
      <c r="G24" s="138"/>
      <c r="H24" s="137"/>
      <c r="I24" s="137"/>
      <c r="J24" s="137"/>
      <c r="K24" s="137"/>
      <c r="L24" s="137"/>
      <c r="M24" s="137"/>
      <c r="N24" s="137">
        <f>ROUNDUP(F24*30%,0)</f>
        <v>24537</v>
      </c>
      <c r="O24" s="137"/>
      <c r="P24" s="137">
        <f>ROUNDUP(E24*6*33%,0)</f>
        <v>9526</v>
      </c>
      <c r="Q24" s="137">
        <f>ROUNDUP(E24*11*25%,0)</f>
        <v>13231</v>
      </c>
      <c r="R24" s="137">
        <f>ROUNDUP(E24*4*20%,0)</f>
        <v>3849</v>
      </c>
      <c r="S24" s="137">
        <f>ROUNDUP(E24*13*15%,0)</f>
        <v>9382</v>
      </c>
      <c r="T24" s="137"/>
      <c r="U24" s="137"/>
      <c r="V24" s="137"/>
      <c r="W24" s="59">
        <f>SUM(H24:V24)</f>
        <v>60525</v>
      </c>
      <c r="X24" s="139">
        <f>F24+W24</f>
        <v>142312</v>
      </c>
      <c r="Y24" s="139">
        <f>X24*8</f>
        <v>1138496</v>
      </c>
    </row>
    <row r="25" spans="1:29" ht="30" customHeight="1" x14ac:dyDescent="0.25">
      <c r="A25" s="134"/>
      <c r="B25" s="141" t="s">
        <v>87</v>
      </c>
      <c r="C25" s="142">
        <f>SUM(C22:C24)</f>
        <v>23</v>
      </c>
      <c r="D25" s="142"/>
      <c r="E25" s="137"/>
      <c r="F25" s="143">
        <f t="shared" ref="F25:Y25" si="0">SUM(F22:F24)</f>
        <v>111499</v>
      </c>
      <c r="G25" s="143">
        <f t="shared" si="0"/>
        <v>2584</v>
      </c>
      <c r="H25" s="144">
        <f t="shared" si="0"/>
        <v>0</v>
      </c>
      <c r="I25" s="144">
        <f t="shared" si="0"/>
        <v>0</v>
      </c>
      <c r="J25" s="144">
        <f>SUM(J22:J24)</f>
        <v>0</v>
      </c>
      <c r="K25" s="144">
        <f t="shared" si="0"/>
        <v>1964</v>
      </c>
      <c r="L25" s="144">
        <f t="shared" si="0"/>
        <v>0</v>
      </c>
      <c r="M25" s="144">
        <f>SUM(M22:M24)</f>
        <v>0</v>
      </c>
      <c r="N25" s="145">
        <f t="shared" si="0"/>
        <v>32961</v>
      </c>
      <c r="O25" s="144">
        <f t="shared" si="0"/>
        <v>0</v>
      </c>
      <c r="P25" s="144">
        <f t="shared" si="0"/>
        <v>14472</v>
      </c>
      <c r="Q25" s="144">
        <f t="shared" si="0"/>
        <v>16913</v>
      </c>
      <c r="R25" s="144">
        <f t="shared" si="0"/>
        <v>7105</v>
      </c>
      <c r="S25" s="144">
        <f t="shared" si="0"/>
        <v>11592</v>
      </c>
      <c r="T25" s="144">
        <f t="shared" si="0"/>
        <v>0</v>
      </c>
      <c r="U25" s="144">
        <f t="shared" si="0"/>
        <v>0</v>
      </c>
      <c r="V25" s="144">
        <f t="shared" si="0"/>
        <v>0</v>
      </c>
      <c r="W25" s="145">
        <f t="shared" si="0"/>
        <v>87591</v>
      </c>
      <c r="X25" s="146">
        <f t="shared" si="0"/>
        <v>199090</v>
      </c>
      <c r="Y25" s="146">
        <f t="shared" si="0"/>
        <v>1592720</v>
      </c>
    </row>
    <row r="26" spans="1:29" ht="15" customHeight="1" x14ac:dyDescent="0.25">
      <c r="A26" s="134"/>
      <c r="B26" s="141"/>
      <c r="C26" s="147"/>
      <c r="D26" s="147"/>
      <c r="E26" s="59"/>
      <c r="F26" s="59"/>
      <c r="G26" s="59"/>
      <c r="H26" s="145"/>
      <c r="I26" s="145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45"/>
      <c r="X26" s="145"/>
      <c r="Y26" s="139"/>
    </row>
    <row r="27" spans="1:29" ht="54" customHeight="1" x14ac:dyDescent="0.25">
      <c r="A27" s="148" t="s">
        <v>88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</row>
    <row r="28" spans="1:29" ht="46.5" customHeight="1" x14ac:dyDescent="0.25">
      <c r="A28" s="134">
        <v>1</v>
      </c>
      <c r="B28" s="151" t="s">
        <v>89</v>
      </c>
      <c r="C28" s="136">
        <v>72</v>
      </c>
      <c r="D28" s="136">
        <v>21</v>
      </c>
      <c r="E28" s="152">
        <v>4562</v>
      </c>
      <c r="F28" s="138">
        <f t="shared" ref="F28:F36" si="1">C28*E28</f>
        <v>328464</v>
      </c>
      <c r="G28" s="138"/>
      <c r="H28" s="137"/>
      <c r="I28" s="137"/>
      <c r="J28" s="137"/>
      <c r="K28" s="137">
        <f>ROUNDUP(E28*12.5*20%,0)</f>
        <v>11405</v>
      </c>
      <c r="L28" s="137"/>
      <c r="M28" s="137"/>
      <c r="N28" s="137">
        <f>ROUNDUP(F28*30%,0)</f>
        <v>98540</v>
      </c>
      <c r="O28" s="137"/>
      <c r="P28" s="137">
        <f>ROUNDUP(E28*72*33%,0)</f>
        <v>108394</v>
      </c>
      <c r="Q28" s="137"/>
      <c r="R28" s="137">
        <f>ROUNDUP(E28*71*20%,0)</f>
        <v>64781</v>
      </c>
      <c r="S28" s="137">
        <f>ROUNDUP(E28*1*15%,0)</f>
        <v>685</v>
      </c>
      <c r="T28" s="137"/>
      <c r="U28" s="137"/>
      <c r="V28" s="137"/>
      <c r="W28" s="137">
        <f t="shared" ref="W28:W36" si="2">SUM(H28:V28)</f>
        <v>283805</v>
      </c>
      <c r="X28" s="139">
        <f t="shared" ref="X28:X36" si="3">F28+W28</f>
        <v>612269</v>
      </c>
      <c r="Y28" s="139">
        <f>X28*8</f>
        <v>4898152</v>
      </c>
    </row>
    <row r="29" spans="1:29" ht="52.5" customHeight="1" x14ac:dyDescent="0.25">
      <c r="A29" s="134">
        <v>2</v>
      </c>
      <c r="B29" s="151" t="s">
        <v>90</v>
      </c>
      <c r="C29" s="136">
        <f>129.25+10</f>
        <v>139.25</v>
      </c>
      <c r="D29" s="136">
        <v>20</v>
      </c>
      <c r="E29" s="152">
        <v>4313</v>
      </c>
      <c r="F29" s="138">
        <f t="shared" si="1"/>
        <v>600585.25</v>
      </c>
      <c r="G29" s="138"/>
      <c r="H29" s="137"/>
      <c r="I29" s="137"/>
      <c r="J29" s="137"/>
      <c r="K29" s="137">
        <f>ROUNDUP(E29*12*20%,0)</f>
        <v>10352</v>
      </c>
      <c r="L29" s="137">
        <f>ROUNDUP(E29*1*10%,0)</f>
        <v>432</v>
      </c>
      <c r="M29" s="137"/>
      <c r="N29" s="137">
        <f>ROUNDUP(F29*30%,0)</f>
        <v>180176</v>
      </c>
      <c r="O29" s="137">
        <f>ROUNDUP(E29*30%*5,0)</f>
        <v>6470</v>
      </c>
      <c r="P29" s="137">
        <f>ROUNDUP(E29*103.75*33%,0)</f>
        <v>147667</v>
      </c>
      <c r="Q29" s="137">
        <f>ROUNDUP(E29*35.5*25%,0)</f>
        <v>38278</v>
      </c>
      <c r="R29" s="137">
        <f>ROUNDUP(E29*105.75*20%,0)</f>
        <v>91220</v>
      </c>
      <c r="S29" s="137">
        <f>ROUNDUP(E29*32.5*15%,0)</f>
        <v>21026</v>
      </c>
      <c r="T29" s="137"/>
      <c r="U29" s="137"/>
      <c r="V29" s="137"/>
      <c r="W29" s="153">
        <f t="shared" si="2"/>
        <v>495621</v>
      </c>
      <c r="X29" s="139">
        <f t="shared" si="3"/>
        <v>1096206.25</v>
      </c>
      <c r="Y29" s="139">
        <f t="shared" ref="Y29:Y36" si="4">X29*8</f>
        <v>8769650</v>
      </c>
    </row>
    <row r="30" spans="1:29" ht="52.5" customHeight="1" x14ac:dyDescent="0.25">
      <c r="A30" s="134">
        <v>3</v>
      </c>
      <c r="B30" s="151" t="s">
        <v>90</v>
      </c>
      <c r="C30" s="136">
        <f>98.25-10</f>
        <v>88.25</v>
      </c>
      <c r="D30" s="136">
        <v>19</v>
      </c>
      <c r="E30" s="152">
        <v>4053</v>
      </c>
      <c r="F30" s="138">
        <f t="shared" si="1"/>
        <v>357677.25</v>
      </c>
      <c r="G30" s="138"/>
      <c r="H30" s="137"/>
      <c r="I30" s="137"/>
      <c r="J30" s="137"/>
      <c r="K30" s="137"/>
      <c r="L30" s="137"/>
      <c r="M30" s="137"/>
      <c r="N30" s="137">
        <f>ROUNDUP(F30*29%,0)</f>
        <v>103727</v>
      </c>
      <c r="O30" s="137"/>
      <c r="P30" s="137"/>
      <c r="Q30" s="137">
        <f>ROUNDUP(E30*88.25*25%,0)</f>
        <v>89420</v>
      </c>
      <c r="R30" s="137">
        <f>ROUNDUP(E30*0.5*20%,0)</f>
        <v>406</v>
      </c>
      <c r="S30" s="137">
        <f>ROUNDUP(E30*87.75*15%,0)</f>
        <v>53348</v>
      </c>
      <c r="T30" s="137"/>
      <c r="U30" s="137"/>
      <c r="V30" s="137"/>
      <c r="W30" s="153">
        <f t="shared" si="2"/>
        <v>246901</v>
      </c>
      <c r="X30" s="139">
        <f t="shared" si="3"/>
        <v>604578.25</v>
      </c>
      <c r="Y30" s="139">
        <f t="shared" si="4"/>
        <v>4836626</v>
      </c>
    </row>
    <row r="31" spans="1:29" ht="63" customHeight="1" x14ac:dyDescent="0.25">
      <c r="A31" s="134">
        <v>4</v>
      </c>
      <c r="B31" s="151" t="s">
        <v>90</v>
      </c>
      <c r="C31" s="136">
        <v>1</v>
      </c>
      <c r="D31" s="136">
        <v>16</v>
      </c>
      <c r="E31" s="152">
        <v>3306</v>
      </c>
      <c r="F31" s="138">
        <f t="shared" si="1"/>
        <v>3306</v>
      </c>
      <c r="G31" s="138"/>
      <c r="H31" s="137"/>
      <c r="I31" s="137"/>
      <c r="J31" s="137"/>
      <c r="K31" s="137"/>
      <c r="L31" s="137"/>
      <c r="M31" s="137"/>
      <c r="N31" s="137">
        <f>ROUNDUP(F31*30%,0)</f>
        <v>992</v>
      </c>
      <c r="O31" s="137"/>
      <c r="P31" s="137"/>
      <c r="Q31" s="137">
        <f>ROUNDUP(E31*1*25%,0)</f>
        <v>827</v>
      </c>
      <c r="R31" s="137">
        <f>ROUNDUP(E31*1*20%,0)</f>
        <v>662</v>
      </c>
      <c r="S31" s="137"/>
      <c r="T31" s="137"/>
      <c r="U31" s="137"/>
      <c r="V31" s="137"/>
      <c r="W31" s="153">
        <f>SUM(H31:V31)</f>
        <v>2481</v>
      </c>
      <c r="X31" s="139">
        <f>F31+W31</f>
        <v>5787</v>
      </c>
      <c r="Y31" s="139">
        <f t="shared" si="4"/>
        <v>46296</v>
      </c>
    </row>
    <row r="32" spans="1:29" ht="56.25" customHeight="1" x14ac:dyDescent="0.25">
      <c r="A32" s="134">
        <v>5</v>
      </c>
      <c r="B32" s="154" t="s">
        <v>91</v>
      </c>
      <c r="C32" s="136">
        <f>442.8+8.25</f>
        <v>451.05</v>
      </c>
      <c r="D32" s="136">
        <v>19</v>
      </c>
      <c r="E32" s="152">
        <v>4053</v>
      </c>
      <c r="F32" s="138">
        <f>C32*E32+0.35</f>
        <v>1828106.0000000002</v>
      </c>
      <c r="G32" s="138"/>
      <c r="H32" s="137"/>
      <c r="I32" s="137"/>
      <c r="J32" s="137"/>
      <c r="K32" s="137"/>
      <c r="L32" s="137">
        <f>ROUNDUP(E32*2*20%,0)+ROUNDUP(E32*3*10%,0)</f>
        <v>2838</v>
      </c>
      <c r="M32" s="137"/>
      <c r="N32" s="137">
        <f>ROUNDUP(F32*29%,0)</f>
        <v>530151</v>
      </c>
      <c r="O32" s="137">
        <f>ROUNDUP(E32*30%*27,0)</f>
        <v>32830</v>
      </c>
      <c r="P32" s="137"/>
      <c r="Q32" s="137">
        <f>ROUNDUP(E32*379.8*25%,0)</f>
        <v>384833</v>
      </c>
      <c r="R32" s="137">
        <f>ROUNDUP(E32*5.5*20%,0)</f>
        <v>4459</v>
      </c>
      <c r="S32" s="137">
        <f>ROUNDUP(E32*439.55*15%,0)</f>
        <v>267225</v>
      </c>
      <c r="T32" s="137"/>
      <c r="U32" s="39">
        <f>ROUNDUP(E32*20*12%,0)</f>
        <v>9728</v>
      </c>
      <c r="V32" s="137"/>
      <c r="W32" s="39">
        <f t="shared" si="2"/>
        <v>1232064</v>
      </c>
      <c r="X32" s="139">
        <f t="shared" si="3"/>
        <v>3060170</v>
      </c>
      <c r="Y32" s="139">
        <f t="shared" si="4"/>
        <v>24481360</v>
      </c>
    </row>
    <row r="33" spans="1:25" ht="48" customHeight="1" x14ac:dyDescent="0.25">
      <c r="A33" s="134">
        <v>6</v>
      </c>
      <c r="B33" s="154" t="s">
        <v>91</v>
      </c>
      <c r="C33" s="136">
        <f>87.25-7</f>
        <v>80.25</v>
      </c>
      <c r="D33" s="136">
        <v>17</v>
      </c>
      <c r="E33" s="152">
        <v>3555</v>
      </c>
      <c r="F33" s="138">
        <f t="shared" si="1"/>
        <v>285288.75</v>
      </c>
      <c r="G33" s="138"/>
      <c r="H33" s="137"/>
      <c r="I33" s="137"/>
      <c r="J33" s="137"/>
      <c r="K33" s="137"/>
      <c r="L33" s="137">
        <f>ROUNDUP(E33*1*10%,0)</f>
        <v>356</v>
      </c>
      <c r="M33" s="137"/>
      <c r="N33" s="137">
        <f>ROUNDUP(F33*29%,0)</f>
        <v>82734</v>
      </c>
      <c r="O33" s="137"/>
      <c r="P33" s="137"/>
      <c r="Q33" s="137"/>
      <c r="R33" s="137"/>
      <c r="S33" s="137">
        <f>ROUNDUP(E33*42.75*15%,0)</f>
        <v>22797</v>
      </c>
      <c r="T33" s="137"/>
      <c r="U33" s="137"/>
      <c r="V33" s="137"/>
      <c r="W33" s="39">
        <f t="shared" si="2"/>
        <v>105887</v>
      </c>
      <c r="X33" s="139">
        <f t="shared" si="3"/>
        <v>391175.75</v>
      </c>
      <c r="Y33" s="139">
        <f t="shared" si="4"/>
        <v>3129406</v>
      </c>
    </row>
    <row r="34" spans="1:25" ht="48" customHeight="1" x14ac:dyDescent="0.25">
      <c r="A34" s="134">
        <v>7</v>
      </c>
      <c r="B34" s="154" t="s">
        <v>91</v>
      </c>
      <c r="C34" s="136">
        <v>12.75</v>
      </c>
      <c r="D34" s="136">
        <v>16</v>
      </c>
      <c r="E34" s="152">
        <v>3306</v>
      </c>
      <c r="F34" s="138">
        <f t="shared" si="1"/>
        <v>42151.5</v>
      </c>
      <c r="G34" s="138"/>
      <c r="H34" s="137"/>
      <c r="I34" s="137"/>
      <c r="J34" s="137"/>
      <c r="K34" s="137"/>
      <c r="L34" s="137"/>
      <c r="M34" s="137"/>
      <c r="N34" s="137">
        <f>ROUNDUP(F34*29%,0)</f>
        <v>12224</v>
      </c>
      <c r="O34" s="137"/>
      <c r="P34" s="137"/>
      <c r="Q34" s="137"/>
      <c r="R34" s="137"/>
      <c r="S34" s="137">
        <f>ROUNDUP(E34*11.5*15%,0)</f>
        <v>5703</v>
      </c>
      <c r="T34" s="137"/>
      <c r="U34" s="137"/>
      <c r="V34" s="137"/>
      <c r="W34" s="39">
        <f>SUM(H34:V34)</f>
        <v>17927</v>
      </c>
      <c r="X34" s="139">
        <f>F34+W34</f>
        <v>60078.5</v>
      </c>
      <c r="Y34" s="139">
        <f t="shared" si="4"/>
        <v>480628</v>
      </c>
    </row>
    <row r="35" spans="1:25" ht="48" customHeight="1" x14ac:dyDescent="0.25">
      <c r="A35" s="134">
        <v>8</v>
      </c>
      <c r="B35" s="135" t="s">
        <v>92</v>
      </c>
      <c r="C35" s="136">
        <f>178.75-1.25-1.75</f>
        <v>175.75</v>
      </c>
      <c r="D35" s="136">
        <v>17</v>
      </c>
      <c r="E35" s="152">
        <v>3555</v>
      </c>
      <c r="F35" s="138">
        <f t="shared" si="1"/>
        <v>624791.25</v>
      </c>
      <c r="G35" s="138"/>
      <c r="H35" s="137"/>
      <c r="I35" s="137"/>
      <c r="J35" s="137"/>
      <c r="K35" s="137"/>
      <c r="L35" s="137">
        <f>ROUNDUP(E35*13*10%,0)+ROUNDUP(E35*2*15%,0)+ROUNDUP(E35*1*20%,0)</f>
        <v>6400</v>
      </c>
      <c r="M35" s="137"/>
      <c r="N35" s="137">
        <f>ROUNDUP(F35*26%,0)</f>
        <v>162446</v>
      </c>
      <c r="O35" s="137">
        <f>ROUNDUP(E35*30%*4,0)</f>
        <v>4266</v>
      </c>
      <c r="P35" s="137"/>
      <c r="Q35" s="137"/>
      <c r="R35" s="137"/>
      <c r="S35" s="137"/>
      <c r="T35" s="137"/>
      <c r="U35" s="137"/>
      <c r="V35" s="137"/>
      <c r="W35" s="137">
        <f t="shared" si="2"/>
        <v>173112</v>
      </c>
      <c r="X35" s="139">
        <f t="shared" si="3"/>
        <v>797903.25</v>
      </c>
      <c r="Y35" s="139">
        <f t="shared" si="4"/>
        <v>6383226</v>
      </c>
    </row>
    <row r="36" spans="1:25" ht="57" customHeight="1" x14ac:dyDescent="0.25">
      <c r="A36" s="134">
        <v>9</v>
      </c>
      <c r="B36" s="135" t="s">
        <v>93</v>
      </c>
      <c r="C36" s="136">
        <f>43.25+1.75</f>
        <v>45</v>
      </c>
      <c r="D36" s="136">
        <v>16</v>
      </c>
      <c r="E36" s="152">
        <v>3306</v>
      </c>
      <c r="F36" s="138">
        <f t="shared" si="1"/>
        <v>148770</v>
      </c>
      <c r="G36" s="138"/>
      <c r="H36" s="137"/>
      <c r="I36" s="137"/>
      <c r="J36" s="137"/>
      <c r="K36" s="137"/>
      <c r="L36" s="137">
        <f>ROUNDUP(E36*38*10%,0)</f>
        <v>12563</v>
      </c>
      <c r="M36" s="137"/>
      <c r="N36" s="137">
        <f>ROUNDUP(F36*19%,0)</f>
        <v>28267</v>
      </c>
      <c r="O36" s="137"/>
      <c r="P36" s="137"/>
      <c r="Q36" s="137"/>
      <c r="R36" s="137"/>
      <c r="S36" s="137"/>
      <c r="T36" s="137"/>
      <c r="U36" s="137"/>
      <c r="V36" s="137"/>
      <c r="W36" s="137">
        <f t="shared" si="2"/>
        <v>40830</v>
      </c>
      <c r="X36" s="139">
        <f t="shared" si="3"/>
        <v>189600</v>
      </c>
      <c r="Y36" s="139">
        <f t="shared" si="4"/>
        <v>1516800</v>
      </c>
    </row>
    <row r="37" spans="1:25" ht="57" customHeight="1" x14ac:dyDescent="0.25">
      <c r="A37" s="134"/>
      <c r="B37" s="141" t="s">
        <v>94</v>
      </c>
      <c r="C37" s="51">
        <f>SUM(C28:C36)</f>
        <v>1065.3</v>
      </c>
      <c r="D37" s="155"/>
      <c r="E37" s="156"/>
      <c r="F37" s="51">
        <f t="shared" ref="F37:Y37" si="5">SUM(F28:F36)</f>
        <v>4219140</v>
      </c>
      <c r="G37" s="51">
        <f t="shared" si="5"/>
        <v>0</v>
      </c>
      <c r="H37" s="156">
        <f t="shared" si="5"/>
        <v>0</v>
      </c>
      <c r="I37" s="156">
        <f t="shared" si="5"/>
        <v>0</v>
      </c>
      <c r="J37" s="156">
        <f t="shared" si="5"/>
        <v>0</v>
      </c>
      <c r="K37" s="156">
        <f t="shared" si="5"/>
        <v>21757</v>
      </c>
      <c r="L37" s="156">
        <f t="shared" si="5"/>
        <v>22589</v>
      </c>
      <c r="M37" s="156">
        <f t="shared" si="5"/>
        <v>0</v>
      </c>
      <c r="N37" s="156">
        <f t="shared" si="5"/>
        <v>1199257</v>
      </c>
      <c r="O37" s="156">
        <f t="shared" si="5"/>
        <v>43566</v>
      </c>
      <c r="P37" s="156">
        <f t="shared" si="5"/>
        <v>256061</v>
      </c>
      <c r="Q37" s="156">
        <f t="shared" si="5"/>
        <v>513358</v>
      </c>
      <c r="R37" s="156">
        <f t="shared" si="5"/>
        <v>161528</v>
      </c>
      <c r="S37" s="156">
        <f t="shared" si="5"/>
        <v>370784</v>
      </c>
      <c r="T37" s="156">
        <f t="shared" si="5"/>
        <v>0</v>
      </c>
      <c r="U37" s="156">
        <f t="shared" si="5"/>
        <v>9728</v>
      </c>
      <c r="V37" s="156">
        <f t="shared" si="5"/>
        <v>0</v>
      </c>
      <c r="W37" s="51">
        <f t="shared" si="5"/>
        <v>2598628</v>
      </c>
      <c r="X37" s="58">
        <f t="shared" si="5"/>
        <v>6817768</v>
      </c>
      <c r="Y37" s="58">
        <f t="shared" si="5"/>
        <v>54542144</v>
      </c>
    </row>
    <row r="38" spans="1:25" ht="28.5" customHeight="1" x14ac:dyDescent="0.25">
      <c r="A38" s="157" t="s">
        <v>95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9"/>
      <c r="Y38" s="137"/>
    </row>
    <row r="39" spans="1:25" ht="20.100000000000001" customHeight="1" x14ac:dyDescent="0.25">
      <c r="A39" s="160" t="s">
        <v>96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2"/>
      <c r="Y39" s="137"/>
    </row>
    <row r="40" spans="1:25" ht="24.75" customHeight="1" x14ac:dyDescent="0.25">
      <c r="A40" s="163">
        <v>1</v>
      </c>
      <c r="B40" s="164" t="s">
        <v>97</v>
      </c>
      <c r="C40" s="165">
        <f>82.75+2+1+0.5-0.25-1+1</f>
        <v>86</v>
      </c>
      <c r="D40" s="166">
        <v>11</v>
      </c>
      <c r="E40" s="166">
        <v>2334</v>
      </c>
      <c r="F40" s="165">
        <f>E40*C40</f>
        <v>200724</v>
      </c>
      <c r="G40" s="165"/>
      <c r="H40" s="138"/>
      <c r="I40" s="59">
        <f>ROUNDUP(F40*20%,0)</f>
        <v>40145</v>
      </c>
      <c r="J40" s="59"/>
      <c r="K40" s="59"/>
      <c r="L40" s="59"/>
      <c r="M40" s="59"/>
      <c r="N40" s="59">
        <f>ROUNDUP(F40*30%,0)</f>
        <v>60218</v>
      </c>
      <c r="O40" s="59"/>
      <c r="P40" s="59"/>
      <c r="Q40" s="59"/>
      <c r="R40" s="59"/>
      <c r="S40" s="59">
        <f>ROUNDUP(E40*15%,0)</f>
        <v>351</v>
      </c>
      <c r="T40" s="59"/>
      <c r="U40" s="59"/>
      <c r="V40" s="59"/>
      <c r="W40" s="167">
        <f t="shared" ref="W40:W51" si="6">SUM(H40:V40)</f>
        <v>100714</v>
      </c>
      <c r="X40" s="138">
        <f t="shared" ref="X40:X51" si="7">F40+W40</f>
        <v>301438</v>
      </c>
      <c r="Y40" s="138">
        <f>X40*8</f>
        <v>2411504</v>
      </c>
    </row>
    <row r="41" spans="1:25" ht="25.5" customHeight="1" x14ac:dyDescent="0.25">
      <c r="A41" s="163">
        <v>2</v>
      </c>
      <c r="B41" s="164" t="s">
        <v>98</v>
      </c>
      <c r="C41" s="166">
        <f>29+1-1-2+1</f>
        <v>28</v>
      </c>
      <c r="D41" s="166">
        <v>10</v>
      </c>
      <c r="E41" s="166">
        <v>2157</v>
      </c>
      <c r="F41" s="165">
        <f t="shared" ref="F41:F51" si="8">E41*C41</f>
        <v>60396</v>
      </c>
      <c r="G41" s="165"/>
      <c r="H41" s="138"/>
      <c r="I41" s="13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39">
        <f t="shared" si="6"/>
        <v>0</v>
      </c>
      <c r="X41" s="138">
        <f t="shared" si="7"/>
        <v>60396</v>
      </c>
      <c r="Y41" s="138">
        <f t="shared" ref="Y41:Y51" si="9">X41*8</f>
        <v>483168</v>
      </c>
    </row>
    <row r="42" spans="1:25" ht="20.100000000000001" customHeight="1" x14ac:dyDescent="0.25">
      <c r="A42" s="163">
        <v>3</v>
      </c>
      <c r="B42" s="164" t="s">
        <v>99</v>
      </c>
      <c r="C42" s="165">
        <f>300.25+1+1+3+3.75+2-0.75-1+1</f>
        <v>310.25</v>
      </c>
      <c r="D42" s="166">
        <v>9</v>
      </c>
      <c r="E42" s="166">
        <v>2050</v>
      </c>
      <c r="F42" s="165">
        <f t="shared" si="8"/>
        <v>636012.5</v>
      </c>
      <c r="G42" s="165"/>
      <c r="H42" s="138"/>
      <c r="I42" s="138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139">
        <f t="shared" si="6"/>
        <v>0</v>
      </c>
      <c r="X42" s="138">
        <f t="shared" si="7"/>
        <v>636012.5</v>
      </c>
      <c r="Y42" s="138">
        <f t="shared" si="9"/>
        <v>5088100</v>
      </c>
    </row>
    <row r="43" spans="1:25" ht="28.5" customHeight="1" x14ac:dyDescent="0.25">
      <c r="A43" s="163">
        <v>4</v>
      </c>
      <c r="B43" s="164" t="s">
        <v>100</v>
      </c>
      <c r="C43" s="166">
        <f>22.75-0.5-1-1-1+1-1+0.25</f>
        <v>19.5</v>
      </c>
      <c r="D43" s="166">
        <v>8</v>
      </c>
      <c r="E43" s="166">
        <v>1943</v>
      </c>
      <c r="F43" s="165">
        <f t="shared" si="8"/>
        <v>37888.5</v>
      </c>
      <c r="G43" s="165"/>
      <c r="H43" s="138"/>
      <c r="I43" s="13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139">
        <f t="shared" si="6"/>
        <v>0</v>
      </c>
      <c r="X43" s="138">
        <f t="shared" si="7"/>
        <v>37888.5</v>
      </c>
      <c r="Y43" s="138">
        <f t="shared" si="9"/>
        <v>303108</v>
      </c>
    </row>
    <row r="44" spans="1:25" ht="24.75" customHeight="1" x14ac:dyDescent="0.25">
      <c r="A44" s="163">
        <v>5</v>
      </c>
      <c r="B44" s="164" t="s">
        <v>101</v>
      </c>
      <c r="C44" s="165">
        <f>11+1+1+0.25+0.05+1-1</f>
        <v>13.3</v>
      </c>
      <c r="D44" s="166">
        <v>7</v>
      </c>
      <c r="E44" s="166">
        <v>1825</v>
      </c>
      <c r="F44" s="165">
        <f t="shared" si="8"/>
        <v>24272.5</v>
      </c>
      <c r="G44" s="165"/>
      <c r="H44" s="138"/>
      <c r="I44" s="138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139">
        <f t="shared" si="6"/>
        <v>0</v>
      </c>
      <c r="X44" s="138">
        <f t="shared" si="7"/>
        <v>24272.5</v>
      </c>
      <c r="Y44" s="138">
        <f t="shared" si="9"/>
        <v>194180</v>
      </c>
    </row>
    <row r="45" spans="1:25" ht="23.25" customHeight="1" x14ac:dyDescent="0.25">
      <c r="A45" s="163">
        <v>6</v>
      </c>
      <c r="B45" s="164" t="s">
        <v>102</v>
      </c>
      <c r="C45" s="166">
        <f>27.75-1-0.75-1+0.5-1-0.5-1+5+8+4</f>
        <v>40</v>
      </c>
      <c r="D45" s="166">
        <v>7</v>
      </c>
      <c r="E45" s="166">
        <v>1825</v>
      </c>
      <c r="F45" s="165">
        <f t="shared" si="8"/>
        <v>73000</v>
      </c>
      <c r="G45" s="165"/>
      <c r="H45" s="138"/>
      <c r="I45" s="13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139">
        <f t="shared" si="6"/>
        <v>0</v>
      </c>
      <c r="X45" s="138">
        <f t="shared" si="7"/>
        <v>73000</v>
      </c>
      <c r="Y45" s="138">
        <f t="shared" si="9"/>
        <v>584000</v>
      </c>
    </row>
    <row r="46" spans="1:25" ht="23.25" customHeight="1" x14ac:dyDescent="0.25">
      <c r="A46" s="163">
        <v>7</v>
      </c>
      <c r="B46" s="164" t="s">
        <v>103</v>
      </c>
      <c r="C46" s="166">
        <f>1+0.75</f>
        <v>1.75</v>
      </c>
      <c r="D46" s="166">
        <v>6</v>
      </c>
      <c r="E46" s="166">
        <v>1718</v>
      </c>
      <c r="F46" s="165">
        <f t="shared" si="8"/>
        <v>3006.5</v>
      </c>
      <c r="G46" s="165"/>
      <c r="H46" s="138"/>
      <c r="I46" s="138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139">
        <f t="shared" si="6"/>
        <v>0</v>
      </c>
      <c r="X46" s="138">
        <f t="shared" si="7"/>
        <v>3006.5</v>
      </c>
      <c r="Y46" s="138">
        <f t="shared" si="9"/>
        <v>24052</v>
      </c>
    </row>
    <row r="47" spans="1:25" ht="20.100000000000001" customHeight="1" x14ac:dyDescent="0.25">
      <c r="A47" s="163">
        <v>8</v>
      </c>
      <c r="B47" s="164" t="s">
        <v>104</v>
      </c>
      <c r="C47" s="166">
        <f>59-0.75+1-1-2+2-1.25-1-7-1</f>
        <v>48</v>
      </c>
      <c r="D47" s="166">
        <v>11</v>
      </c>
      <c r="E47" s="166">
        <v>2334</v>
      </c>
      <c r="F47" s="165">
        <f t="shared" si="8"/>
        <v>112032</v>
      </c>
      <c r="G47" s="165"/>
      <c r="H47" s="138"/>
      <c r="I47" s="59">
        <f>ROUNDUP(F47*20%,0)</f>
        <v>22407</v>
      </c>
      <c r="J47" s="59"/>
      <c r="K47" s="59"/>
      <c r="L47" s="59"/>
      <c r="M47" s="59"/>
      <c r="N47" s="59">
        <f>ROUNDUP(F47*30%,0)</f>
        <v>33610</v>
      </c>
      <c r="O47" s="59"/>
      <c r="P47" s="59"/>
      <c r="Q47" s="59"/>
      <c r="R47" s="59"/>
      <c r="S47" s="59">
        <f>ROUNDUP(E47*15%,0)</f>
        <v>351</v>
      </c>
      <c r="T47" s="59"/>
      <c r="U47" s="59"/>
      <c r="V47" s="59"/>
      <c r="W47" s="167">
        <f t="shared" si="6"/>
        <v>56368</v>
      </c>
      <c r="X47" s="138">
        <f t="shared" si="7"/>
        <v>168400</v>
      </c>
      <c r="Y47" s="138">
        <f t="shared" si="9"/>
        <v>1347200</v>
      </c>
    </row>
    <row r="48" spans="1:25" ht="23.25" customHeight="1" x14ac:dyDescent="0.25">
      <c r="A48" s="163">
        <v>9</v>
      </c>
      <c r="B48" s="164" t="s">
        <v>105</v>
      </c>
      <c r="C48" s="166">
        <f>19.25-2-1-1-1.25+0.5</f>
        <v>14.5</v>
      </c>
      <c r="D48" s="166">
        <v>6</v>
      </c>
      <c r="E48" s="166">
        <v>1718</v>
      </c>
      <c r="F48" s="165">
        <f t="shared" si="8"/>
        <v>24911</v>
      </c>
      <c r="G48" s="165"/>
      <c r="H48" s="138"/>
      <c r="I48" s="13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139">
        <f t="shared" si="6"/>
        <v>0</v>
      </c>
      <c r="X48" s="138">
        <f t="shared" si="7"/>
        <v>24911</v>
      </c>
      <c r="Y48" s="138">
        <f t="shared" si="9"/>
        <v>199288</v>
      </c>
    </row>
    <row r="49" spans="1:25" ht="24" customHeight="1" x14ac:dyDescent="0.25">
      <c r="A49" s="163">
        <v>10</v>
      </c>
      <c r="B49" s="164" t="s">
        <v>106</v>
      </c>
      <c r="C49" s="166">
        <f>21.25-1-0.5-0.5-1-1-0.25-0.5+1-1+1</f>
        <v>17.5</v>
      </c>
      <c r="D49" s="166">
        <v>5</v>
      </c>
      <c r="E49" s="166">
        <v>1612</v>
      </c>
      <c r="F49" s="165">
        <f t="shared" si="8"/>
        <v>28210</v>
      </c>
      <c r="G49" s="165"/>
      <c r="H49" s="138"/>
      <c r="I49" s="138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139">
        <f t="shared" si="6"/>
        <v>0</v>
      </c>
      <c r="X49" s="138">
        <f t="shared" si="7"/>
        <v>28210</v>
      </c>
      <c r="Y49" s="138">
        <f t="shared" si="9"/>
        <v>225680</v>
      </c>
    </row>
    <row r="50" spans="1:25" ht="20.25" customHeight="1" x14ac:dyDescent="0.25">
      <c r="A50" s="163">
        <v>11</v>
      </c>
      <c r="B50" s="164" t="s">
        <v>107</v>
      </c>
      <c r="C50" s="166">
        <f>22.75-7.5-5+7-1-1-1-1+38.5+10.25+0.5-0.25-5-8-10.25-8</f>
        <v>31</v>
      </c>
      <c r="D50" s="166">
        <v>4</v>
      </c>
      <c r="E50" s="166">
        <v>1543</v>
      </c>
      <c r="F50" s="165">
        <f t="shared" si="8"/>
        <v>47833</v>
      </c>
      <c r="G50" s="165"/>
      <c r="H50" s="138"/>
      <c r="I50" s="138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139">
        <f t="shared" si="6"/>
        <v>0</v>
      </c>
      <c r="X50" s="138">
        <f t="shared" si="7"/>
        <v>47833</v>
      </c>
      <c r="Y50" s="138">
        <f t="shared" si="9"/>
        <v>382664</v>
      </c>
    </row>
    <row r="51" spans="1:25" ht="25.5" customHeight="1" x14ac:dyDescent="0.25">
      <c r="A51" s="163">
        <v>12</v>
      </c>
      <c r="B51" s="164" t="s">
        <v>108</v>
      </c>
      <c r="C51" s="166">
        <v>3</v>
      </c>
      <c r="D51" s="166">
        <v>9</v>
      </c>
      <c r="E51" s="166">
        <v>2050</v>
      </c>
      <c r="F51" s="165">
        <f t="shared" si="8"/>
        <v>6150</v>
      </c>
      <c r="G51" s="165"/>
      <c r="H51" s="137"/>
      <c r="I51" s="137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139">
        <f t="shared" si="6"/>
        <v>0</v>
      </c>
      <c r="X51" s="138">
        <f t="shared" si="7"/>
        <v>6150</v>
      </c>
      <c r="Y51" s="138">
        <f t="shared" si="9"/>
        <v>49200</v>
      </c>
    </row>
    <row r="52" spans="1:25" ht="20.100000000000001" customHeight="1" x14ac:dyDescent="0.25">
      <c r="A52" s="168"/>
      <c r="B52" s="164"/>
      <c r="C52" s="169">
        <f>SUM(C40:C51)</f>
        <v>612.79999999999995</v>
      </c>
      <c r="D52" s="169"/>
      <c r="E52" s="169"/>
      <c r="F52" s="169">
        <f t="shared" ref="F52:Y52" si="10">SUM(F40:F51)</f>
        <v>1254436</v>
      </c>
      <c r="G52" s="169"/>
      <c r="H52" s="169">
        <f t="shared" si="10"/>
        <v>0</v>
      </c>
      <c r="I52" s="170">
        <f t="shared" si="10"/>
        <v>62552</v>
      </c>
      <c r="J52" s="171">
        <f t="shared" si="10"/>
        <v>0</v>
      </c>
      <c r="K52" s="171">
        <f t="shared" si="10"/>
        <v>0</v>
      </c>
      <c r="L52" s="171">
        <f t="shared" si="10"/>
        <v>0</v>
      </c>
      <c r="M52" s="171">
        <f t="shared" si="10"/>
        <v>0</v>
      </c>
      <c r="N52" s="172">
        <f t="shared" si="10"/>
        <v>93828</v>
      </c>
      <c r="O52" s="171">
        <f t="shared" si="10"/>
        <v>0</v>
      </c>
      <c r="P52" s="171">
        <f t="shared" si="10"/>
        <v>0</v>
      </c>
      <c r="Q52" s="171">
        <f t="shared" si="10"/>
        <v>0</v>
      </c>
      <c r="R52" s="171">
        <f t="shared" si="10"/>
        <v>0</v>
      </c>
      <c r="S52" s="171">
        <f t="shared" si="10"/>
        <v>702</v>
      </c>
      <c r="T52" s="171">
        <f t="shared" si="10"/>
        <v>0</v>
      </c>
      <c r="U52" s="173">
        <f t="shared" si="10"/>
        <v>0</v>
      </c>
      <c r="V52" s="171">
        <f t="shared" si="10"/>
        <v>0</v>
      </c>
      <c r="W52" s="172">
        <f t="shared" si="10"/>
        <v>157082</v>
      </c>
      <c r="X52" s="169">
        <f t="shared" si="10"/>
        <v>1411518</v>
      </c>
      <c r="Y52" s="169">
        <f t="shared" si="10"/>
        <v>11292144</v>
      </c>
    </row>
    <row r="53" spans="1:25" ht="20.100000000000001" customHeight="1" x14ac:dyDescent="0.25">
      <c r="A53" s="174" t="s">
        <v>109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6"/>
      <c r="Y53" s="137"/>
    </row>
    <row r="54" spans="1:25" ht="20.100000000000001" customHeight="1" x14ac:dyDescent="0.25">
      <c r="A54" s="163">
        <v>1</v>
      </c>
      <c r="B54" s="164" t="s">
        <v>110</v>
      </c>
      <c r="C54" s="166">
        <f>14-0.25-0.75+1</f>
        <v>14</v>
      </c>
      <c r="D54" s="163">
        <v>10</v>
      </c>
      <c r="E54" s="166">
        <v>2157</v>
      </c>
      <c r="F54" s="165">
        <f t="shared" ref="F54:F61" si="11">E54*C54</f>
        <v>30198</v>
      </c>
      <c r="G54" s="165"/>
      <c r="H54" s="139"/>
      <c r="I54" s="13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139">
        <f t="shared" ref="W54:W62" si="12">SUM(H54:V54)</f>
        <v>0</v>
      </c>
      <c r="X54" s="138">
        <f t="shared" ref="X54:X61" si="13">F54+W54</f>
        <v>30198</v>
      </c>
      <c r="Y54" s="138">
        <f>X54*8</f>
        <v>241584</v>
      </c>
    </row>
    <row r="55" spans="1:25" ht="25.5" customHeight="1" x14ac:dyDescent="0.25">
      <c r="A55" s="163">
        <v>2</v>
      </c>
      <c r="B55" s="164" t="s">
        <v>98</v>
      </c>
      <c r="C55" s="166">
        <v>3</v>
      </c>
      <c r="D55" s="163">
        <v>10</v>
      </c>
      <c r="E55" s="166">
        <v>2157</v>
      </c>
      <c r="F55" s="165">
        <f t="shared" si="11"/>
        <v>6471</v>
      </c>
      <c r="G55" s="165"/>
      <c r="H55" s="139"/>
      <c r="I55" s="13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139">
        <f t="shared" si="12"/>
        <v>0</v>
      </c>
      <c r="X55" s="138">
        <f t="shared" si="13"/>
        <v>6471</v>
      </c>
      <c r="Y55" s="138">
        <f t="shared" ref="Y55:Y61" si="14">X55*8</f>
        <v>51768</v>
      </c>
    </row>
    <row r="56" spans="1:25" ht="30" customHeight="1" x14ac:dyDescent="0.25">
      <c r="A56" s="163">
        <v>3</v>
      </c>
      <c r="B56" s="168" t="s">
        <v>111</v>
      </c>
      <c r="C56" s="166">
        <f>30-0.5+1-1</f>
        <v>29.5</v>
      </c>
      <c r="D56" s="163">
        <v>9</v>
      </c>
      <c r="E56" s="166">
        <v>2050</v>
      </c>
      <c r="F56" s="165">
        <f t="shared" si="11"/>
        <v>60475</v>
      </c>
      <c r="G56" s="165"/>
      <c r="H56" s="139"/>
      <c r="I56" s="13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139">
        <f t="shared" si="12"/>
        <v>0</v>
      </c>
      <c r="X56" s="138">
        <f t="shared" si="13"/>
        <v>60475</v>
      </c>
      <c r="Y56" s="138">
        <f t="shared" si="14"/>
        <v>483800</v>
      </c>
    </row>
    <row r="57" spans="1:25" ht="20.100000000000001" customHeight="1" x14ac:dyDescent="0.25">
      <c r="A57" s="163">
        <v>4</v>
      </c>
      <c r="B57" s="164" t="s">
        <v>99</v>
      </c>
      <c r="C57" s="166">
        <f>7+1</f>
        <v>8</v>
      </c>
      <c r="D57" s="163">
        <v>9</v>
      </c>
      <c r="E57" s="166">
        <v>2050</v>
      </c>
      <c r="F57" s="165">
        <f t="shared" si="11"/>
        <v>16400</v>
      </c>
      <c r="G57" s="165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139">
        <f t="shared" si="12"/>
        <v>0</v>
      </c>
      <c r="X57" s="138">
        <f t="shared" si="13"/>
        <v>16400</v>
      </c>
      <c r="Y57" s="138">
        <f t="shared" si="14"/>
        <v>131200</v>
      </c>
    </row>
    <row r="58" spans="1:25" ht="20.100000000000001" customHeight="1" x14ac:dyDescent="0.25">
      <c r="A58" s="163">
        <v>5</v>
      </c>
      <c r="B58" s="164" t="s">
        <v>100</v>
      </c>
      <c r="C58" s="166">
        <v>2</v>
      </c>
      <c r="D58" s="163">
        <v>8</v>
      </c>
      <c r="E58" s="166">
        <v>1943</v>
      </c>
      <c r="F58" s="165">
        <f t="shared" si="11"/>
        <v>3886</v>
      </c>
      <c r="G58" s="165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139">
        <f t="shared" si="12"/>
        <v>0</v>
      </c>
      <c r="X58" s="138">
        <f t="shared" si="13"/>
        <v>3886</v>
      </c>
      <c r="Y58" s="138">
        <f t="shared" si="14"/>
        <v>31088</v>
      </c>
    </row>
    <row r="59" spans="1:25" ht="20.100000000000001" customHeight="1" x14ac:dyDescent="0.25">
      <c r="A59" s="163">
        <v>6</v>
      </c>
      <c r="B59" s="164" t="s">
        <v>101</v>
      </c>
      <c r="C59" s="166">
        <f>2-1</f>
        <v>1</v>
      </c>
      <c r="D59" s="163">
        <v>7</v>
      </c>
      <c r="E59" s="166">
        <v>1825</v>
      </c>
      <c r="F59" s="165">
        <f t="shared" si="11"/>
        <v>1825</v>
      </c>
      <c r="G59" s="165"/>
      <c r="H59" s="139"/>
      <c r="I59" s="13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139">
        <f t="shared" si="12"/>
        <v>0</v>
      </c>
      <c r="X59" s="138">
        <f t="shared" si="13"/>
        <v>1825</v>
      </c>
      <c r="Y59" s="138">
        <f t="shared" si="14"/>
        <v>14600</v>
      </c>
    </row>
    <row r="60" spans="1:25" ht="20.100000000000001" customHeight="1" x14ac:dyDescent="0.25">
      <c r="A60" s="163">
        <v>7</v>
      </c>
      <c r="B60" s="164" t="s">
        <v>112</v>
      </c>
      <c r="C60" s="166">
        <f>1+9+5</f>
        <v>15</v>
      </c>
      <c r="D60" s="163">
        <v>4</v>
      </c>
      <c r="E60" s="166">
        <v>1543</v>
      </c>
      <c r="F60" s="165">
        <f t="shared" si="11"/>
        <v>23145</v>
      </c>
      <c r="G60" s="165"/>
      <c r="H60" s="139"/>
      <c r="I60" s="13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139">
        <f t="shared" si="12"/>
        <v>0</v>
      </c>
      <c r="X60" s="138">
        <f t="shared" si="13"/>
        <v>23145</v>
      </c>
      <c r="Y60" s="138">
        <f t="shared" si="14"/>
        <v>185160</v>
      </c>
    </row>
    <row r="61" spans="1:25" ht="27" customHeight="1" x14ac:dyDescent="0.25">
      <c r="A61" s="163">
        <v>8</v>
      </c>
      <c r="B61" s="164" t="s">
        <v>113</v>
      </c>
      <c r="C61" s="166">
        <v>1</v>
      </c>
      <c r="D61" s="163">
        <v>7</v>
      </c>
      <c r="E61" s="166">
        <v>1825</v>
      </c>
      <c r="F61" s="165">
        <f t="shared" si="11"/>
        <v>1825</v>
      </c>
      <c r="G61" s="165"/>
      <c r="H61" s="139"/>
      <c r="I61" s="13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139">
        <f t="shared" si="12"/>
        <v>0</v>
      </c>
      <c r="X61" s="138">
        <f t="shared" si="13"/>
        <v>1825</v>
      </c>
      <c r="Y61" s="138">
        <f t="shared" si="14"/>
        <v>14600</v>
      </c>
    </row>
    <row r="62" spans="1:25" ht="20.100000000000001" customHeight="1" x14ac:dyDescent="0.25">
      <c r="A62" s="168"/>
      <c r="B62" s="164"/>
      <c r="C62" s="177">
        <f>SUM(C54:C61)</f>
        <v>73.5</v>
      </c>
      <c r="D62" s="177"/>
      <c r="E62" s="177"/>
      <c r="F62" s="171">
        <f>SUM(F54:F61)</f>
        <v>144225</v>
      </c>
      <c r="G62" s="171"/>
      <c r="H62" s="178">
        <f t="shared" ref="H62:V62" si="15">SUM(H54:H61)</f>
        <v>0</v>
      </c>
      <c r="I62" s="178">
        <f t="shared" si="15"/>
        <v>0</v>
      </c>
      <c r="J62" s="178">
        <f t="shared" si="15"/>
        <v>0</v>
      </c>
      <c r="K62" s="178">
        <f t="shared" si="15"/>
        <v>0</v>
      </c>
      <c r="L62" s="178">
        <f t="shared" si="15"/>
        <v>0</v>
      </c>
      <c r="M62" s="178">
        <f t="shared" si="15"/>
        <v>0</v>
      </c>
      <c r="N62" s="178">
        <f t="shared" si="15"/>
        <v>0</v>
      </c>
      <c r="O62" s="178">
        <f t="shared" si="15"/>
        <v>0</v>
      </c>
      <c r="P62" s="178">
        <f t="shared" si="15"/>
        <v>0</v>
      </c>
      <c r="Q62" s="178">
        <f t="shared" si="15"/>
        <v>0</v>
      </c>
      <c r="R62" s="178">
        <f t="shared" si="15"/>
        <v>0</v>
      </c>
      <c r="S62" s="178">
        <f t="shared" si="15"/>
        <v>0</v>
      </c>
      <c r="T62" s="178">
        <f t="shared" si="15"/>
        <v>0</v>
      </c>
      <c r="U62" s="178">
        <f t="shared" si="15"/>
        <v>0</v>
      </c>
      <c r="V62" s="178">
        <f t="shared" si="15"/>
        <v>0</v>
      </c>
      <c r="W62" s="139">
        <f t="shared" si="12"/>
        <v>0</v>
      </c>
      <c r="X62" s="169">
        <f>SUM(X54:X61)</f>
        <v>144225</v>
      </c>
      <c r="Y62" s="169">
        <f>SUM(Y54:Y61)</f>
        <v>1153800</v>
      </c>
    </row>
    <row r="63" spans="1:25" ht="20.100000000000001" customHeight="1" x14ac:dyDescent="0.25">
      <c r="A63" s="59"/>
      <c r="B63" s="59"/>
      <c r="C63" s="59"/>
      <c r="D63" s="137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137"/>
      <c r="Y63" s="137"/>
    </row>
    <row r="64" spans="1:25" ht="15.75" customHeight="1" x14ac:dyDescent="0.25">
      <c r="A64" s="179" t="s">
        <v>114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1"/>
    </row>
    <row r="65" spans="1:25" ht="20.100000000000001" customHeight="1" x14ac:dyDescent="0.25">
      <c r="A65" s="182">
        <v>1</v>
      </c>
      <c r="B65" s="164" t="s">
        <v>115</v>
      </c>
      <c r="C65" s="134">
        <v>1</v>
      </c>
      <c r="D65" s="134">
        <v>12</v>
      </c>
      <c r="E65" s="134">
        <v>2512</v>
      </c>
      <c r="F65" s="183">
        <f>E65*C65</f>
        <v>2512</v>
      </c>
      <c r="G65" s="183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>
        <f>SUM(H65:V65)</f>
        <v>0</v>
      </c>
      <c r="X65" s="138">
        <f>W65+F65</f>
        <v>2512</v>
      </c>
      <c r="Y65" s="138">
        <f>X65*8</f>
        <v>20096</v>
      </c>
    </row>
    <row r="66" spans="1:25" ht="20.100000000000001" customHeight="1" x14ac:dyDescent="0.25">
      <c r="A66" s="182">
        <v>2</v>
      </c>
      <c r="B66" s="164" t="s">
        <v>116</v>
      </c>
      <c r="C66" s="163">
        <v>1</v>
      </c>
      <c r="D66" s="163">
        <v>11</v>
      </c>
      <c r="E66" s="59">
        <v>2334</v>
      </c>
      <c r="F66" s="183">
        <f>E66*C66</f>
        <v>2334</v>
      </c>
      <c r="G66" s="18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>
        <f>SUM(H66:V66)</f>
        <v>0</v>
      </c>
      <c r="X66" s="138">
        <f>W66+F66</f>
        <v>2334</v>
      </c>
      <c r="Y66" s="138">
        <f>X66*8</f>
        <v>18672</v>
      </c>
    </row>
    <row r="67" spans="1:25" s="3" customFormat="1" ht="16.5" customHeight="1" x14ac:dyDescent="0.25">
      <c r="A67" s="184"/>
      <c r="B67" s="185"/>
      <c r="C67" s="178">
        <f>SUM(C65:C66)</f>
        <v>2</v>
      </c>
      <c r="D67" s="178"/>
      <c r="E67" s="184"/>
      <c r="F67" s="171">
        <f>SUM(F65:F66)</f>
        <v>4846</v>
      </c>
      <c r="G67" s="171"/>
      <c r="H67" s="172">
        <f>SUM(H65:H66)</f>
        <v>0</v>
      </c>
      <c r="I67" s="172">
        <f>SUM(I65:I66)</f>
        <v>0</v>
      </c>
      <c r="J67" s="172">
        <f t="shared" ref="J67:Y67" si="16">SUM(J65:J66)</f>
        <v>0</v>
      </c>
      <c r="K67" s="172">
        <f t="shared" si="16"/>
        <v>0</v>
      </c>
      <c r="L67" s="172">
        <f t="shared" si="16"/>
        <v>0</v>
      </c>
      <c r="M67" s="172">
        <f t="shared" si="16"/>
        <v>0</v>
      </c>
      <c r="N67" s="172">
        <f t="shared" si="16"/>
        <v>0</v>
      </c>
      <c r="O67" s="172">
        <f t="shared" si="16"/>
        <v>0</v>
      </c>
      <c r="P67" s="172">
        <f t="shared" si="16"/>
        <v>0</v>
      </c>
      <c r="Q67" s="172">
        <f t="shared" si="16"/>
        <v>0</v>
      </c>
      <c r="R67" s="172">
        <f t="shared" si="16"/>
        <v>0</v>
      </c>
      <c r="S67" s="172">
        <f t="shared" si="16"/>
        <v>0</v>
      </c>
      <c r="T67" s="172">
        <f t="shared" si="16"/>
        <v>0</v>
      </c>
      <c r="U67" s="172">
        <f t="shared" si="16"/>
        <v>0</v>
      </c>
      <c r="V67" s="172">
        <f t="shared" si="16"/>
        <v>0</v>
      </c>
      <c r="W67" s="172">
        <f t="shared" si="16"/>
        <v>0</v>
      </c>
      <c r="X67" s="171">
        <f t="shared" si="16"/>
        <v>4846</v>
      </c>
      <c r="Y67" s="171">
        <f t="shared" si="16"/>
        <v>38768</v>
      </c>
    </row>
    <row r="68" spans="1:25" ht="24.75" customHeight="1" x14ac:dyDescent="0.25">
      <c r="A68" s="174" t="s">
        <v>117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6"/>
    </row>
    <row r="69" spans="1:25" ht="18.75" customHeight="1" x14ac:dyDescent="0.25">
      <c r="A69" s="163">
        <v>1</v>
      </c>
      <c r="B69" s="164" t="s">
        <v>118</v>
      </c>
      <c r="C69" s="163">
        <v>1</v>
      </c>
      <c r="D69" s="163">
        <v>10</v>
      </c>
      <c r="E69" s="59">
        <v>2157</v>
      </c>
      <c r="F69" s="139">
        <f>E69*C69</f>
        <v>2157</v>
      </c>
      <c r="G69" s="139"/>
      <c r="H69" s="139"/>
      <c r="I69" s="13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139">
        <f t="shared" ref="W69:W74" si="17">SUM(H69:V69)</f>
        <v>0</v>
      </c>
      <c r="X69" s="138">
        <f>F69+W69</f>
        <v>2157</v>
      </c>
      <c r="Y69" s="186">
        <f>X69*8</f>
        <v>17256</v>
      </c>
    </row>
    <row r="70" spans="1:25" ht="16.5" customHeight="1" x14ac:dyDescent="0.25">
      <c r="A70" s="163">
        <v>2</v>
      </c>
      <c r="B70" s="164" t="s">
        <v>99</v>
      </c>
      <c r="C70" s="163">
        <v>5</v>
      </c>
      <c r="D70" s="163">
        <v>9</v>
      </c>
      <c r="E70" s="59">
        <v>2050</v>
      </c>
      <c r="F70" s="139">
        <f>E70*C70</f>
        <v>10250</v>
      </c>
      <c r="G70" s="139"/>
      <c r="H70" s="139"/>
      <c r="I70" s="13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139">
        <f t="shared" si="17"/>
        <v>0</v>
      </c>
      <c r="X70" s="138">
        <f>F70+W70</f>
        <v>10250</v>
      </c>
      <c r="Y70" s="186">
        <f>X70*8</f>
        <v>82000</v>
      </c>
    </row>
    <row r="71" spans="1:25" ht="18.75" customHeight="1" x14ac:dyDescent="0.25">
      <c r="A71" s="163">
        <v>3</v>
      </c>
      <c r="B71" s="164" t="s">
        <v>119</v>
      </c>
      <c r="C71" s="163">
        <v>1</v>
      </c>
      <c r="D71" s="163">
        <v>7</v>
      </c>
      <c r="E71" s="59">
        <v>1825</v>
      </c>
      <c r="F71" s="139">
        <f>E71*C71</f>
        <v>1825</v>
      </c>
      <c r="G71" s="139"/>
      <c r="H71" s="139"/>
      <c r="I71" s="13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139">
        <f t="shared" si="17"/>
        <v>0</v>
      </c>
      <c r="X71" s="138">
        <f>F71+W71</f>
        <v>1825</v>
      </c>
      <c r="Y71" s="186">
        <f>X71*8</f>
        <v>14600</v>
      </c>
    </row>
    <row r="72" spans="1:25" ht="18" customHeight="1" x14ac:dyDescent="0.25">
      <c r="A72" s="163">
        <v>4</v>
      </c>
      <c r="B72" s="164" t="s">
        <v>120</v>
      </c>
      <c r="C72" s="163">
        <v>0.5</v>
      </c>
      <c r="D72" s="163">
        <v>7</v>
      </c>
      <c r="E72" s="59">
        <v>1825</v>
      </c>
      <c r="F72" s="139">
        <f>E72*C72</f>
        <v>912.5</v>
      </c>
      <c r="G72" s="139"/>
      <c r="H72" s="139"/>
      <c r="I72" s="13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139">
        <f t="shared" si="17"/>
        <v>0</v>
      </c>
      <c r="X72" s="138">
        <f>F72+W72</f>
        <v>912.5</v>
      </c>
      <c r="Y72" s="186">
        <f>X72*8</f>
        <v>7300</v>
      </c>
    </row>
    <row r="73" spans="1:25" ht="16.5" customHeight="1" x14ac:dyDescent="0.25">
      <c r="A73" s="163">
        <v>5</v>
      </c>
      <c r="B73" s="164" t="s">
        <v>121</v>
      </c>
      <c r="C73" s="163">
        <f>3-1</f>
        <v>2</v>
      </c>
      <c r="D73" s="163">
        <v>5</v>
      </c>
      <c r="E73" s="59">
        <v>1612</v>
      </c>
      <c r="F73" s="139">
        <f>E73*C73</f>
        <v>3224</v>
      </c>
      <c r="G73" s="139"/>
      <c r="H73" s="139"/>
      <c r="I73" s="13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139">
        <f t="shared" si="17"/>
        <v>0</v>
      </c>
      <c r="X73" s="138">
        <f>F73+W73</f>
        <v>3224</v>
      </c>
      <c r="Y73" s="186">
        <f>X73*8</f>
        <v>25792</v>
      </c>
    </row>
    <row r="74" spans="1:25" ht="15" customHeight="1" x14ac:dyDescent="0.25">
      <c r="A74" s="187"/>
      <c r="B74" s="188"/>
      <c r="C74" s="189">
        <f>SUM(C69:C73)</f>
        <v>9.5</v>
      </c>
      <c r="D74" s="189"/>
      <c r="E74" s="189"/>
      <c r="F74" s="190">
        <f>SUM(F69:F73)</f>
        <v>18368.5</v>
      </c>
      <c r="G74" s="190"/>
      <c r="H74" s="189"/>
      <c r="I74" s="18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139">
        <f t="shared" si="17"/>
        <v>0</v>
      </c>
      <c r="X74" s="143">
        <f>SUM(X69:X73)</f>
        <v>18368.5</v>
      </c>
      <c r="Y74" s="143">
        <f>SUM(Y69:Y73)</f>
        <v>146948</v>
      </c>
    </row>
    <row r="75" spans="1:25" ht="27" customHeight="1" x14ac:dyDescent="0.25">
      <c r="A75" s="174" t="s">
        <v>122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6"/>
    </row>
    <row r="76" spans="1:25" ht="21" customHeight="1" x14ac:dyDescent="0.25">
      <c r="A76" s="163">
        <v>1</v>
      </c>
      <c r="B76" s="164" t="s">
        <v>118</v>
      </c>
      <c r="C76" s="166">
        <v>1</v>
      </c>
      <c r="D76" s="166">
        <v>12</v>
      </c>
      <c r="E76" s="191">
        <v>2512</v>
      </c>
      <c r="F76" s="192">
        <f>E76*C76</f>
        <v>2512</v>
      </c>
      <c r="G76" s="192"/>
      <c r="H76" s="139"/>
      <c r="I76" s="13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139">
        <f>SUM(H76:V76)</f>
        <v>0</v>
      </c>
      <c r="X76" s="138">
        <f>F76+W76</f>
        <v>2512</v>
      </c>
      <c r="Y76" s="186">
        <f>X76*8</f>
        <v>20096</v>
      </c>
    </row>
    <row r="77" spans="1:25" ht="15" customHeight="1" x14ac:dyDescent="0.25">
      <c r="A77" s="163">
        <v>2</v>
      </c>
      <c r="B77" s="164" t="s">
        <v>123</v>
      </c>
      <c r="C77" s="166">
        <v>1</v>
      </c>
      <c r="D77" s="166"/>
      <c r="E77" s="191">
        <v>2261</v>
      </c>
      <c r="F77" s="192">
        <f>E77*C77</f>
        <v>2261</v>
      </c>
      <c r="G77" s="192"/>
      <c r="H77" s="139"/>
      <c r="I77" s="13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139">
        <f>SUM(H77:V77)</f>
        <v>0</v>
      </c>
      <c r="X77" s="138">
        <f>F77+W77</f>
        <v>2261</v>
      </c>
      <c r="Y77" s="186">
        <f>X77*8</f>
        <v>18088</v>
      </c>
    </row>
    <row r="78" spans="1:25" ht="19.5" customHeight="1" x14ac:dyDescent="0.25">
      <c r="A78" s="163">
        <v>3</v>
      </c>
      <c r="B78" s="164" t="s">
        <v>124</v>
      </c>
      <c r="C78" s="166">
        <v>4</v>
      </c>
      <c r="D78" s="166">
        <v>6</v>
      </c>
      <c r="E78" s="191">
        <v>1718</v>
      </c>
      <c r="F78" s="192">
        <f>E78*C78</f>
        <v>6872</v>
      </c>
      <c r="G78" s="192"/>
      <c r="H78" s="139"/>
      <c r="I78" s="13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139">
        <f>SUM(H78:V78)</f>
        <v>0</v>
      </c>
      <c r="X78" s="138">
        <f>F78+W78</f>
        <v>6872</v>
      </c>
      <c r="Y78" s="186">
        <f>X78*8</f>
        <v>54976</v>
      </c>
    </row>
    <row r="79" spans="1:25" ht="21" customHeight="1" x14ac:dyDescent="0.25">
      <c r="A79" s="187"/>
      <c r="B79" s="164"/>
      <c r="C79" s="144">
        <f>SUM(C76:C78)</f>
        <v>6</v>
      </c>
      <c r="D79" s="144"/>
      <c r="E79" s="144"/>
      <c r="F79" s="143">
        <f>SUM(F76:F78)</f>
        <v>11645</v>
      </c>
      <c r="G79" s="143"/>
      <c r="H79" s="189">
        <f t="shared" ref="H79:V79" si="18">SUM(H76:H78)</f>
        <v>0</v>
      </c>
      <c r="I79" s="189">
        <f t="shared" si="18"/>
        <v>0</v>
      </c>
      <c r="J79" s="189">
        <f t="shared" si="18"/>
        <v>0</v>
      </c>
      <c r="K79" s="189">
        <f t="shared" si="18"/>
        <v>0</v>
      </c>
      <c r="L79" s="189">
        <f t="shared" si="18"/>
        <v>0</v>
      </c>
      <c r="M79" s="189">
        <f t="shared" si="18"/>
        <v>0</v>
      </c>
      <c r="N79" s="189">
        <f t="shared" si="18"/>
        <v>0</v>
      </c>
      <c r="O79" s="189">
        <f t="shared" si="18"/>
        <v>0</v>
      </c>
      <c r="P79" s="189">
        <f t="shared" si="18"/>
        <v>0</v>
      </c>
      <c r="Q79" s="189">
        <f t="shared" si="18"/>
        <v>0</v>
      </c>
      <c r="R79" s="189">
        <f t="shared" si="18"/>
        <v>0</v>
      </c>
      <c r="S79" s="189">
        <f t="shared" si="18"/>
        <v>0</v>
      </c>
      <c r="T79" s="189">
        <f t="shared" si="18"/>
        <v>0</v>
      </c>
      <c r="U79" s="189">
        <f t="shared" si="18"/>
        <v>0</v>
      </c>
      <c r="V79" s="189">
        <f t="shared" si="18"/>
        <v>0</v>
      </c>
      <c r="W79" s="139">
        <f>SUM(H79:V79)</f>
        <v>0</v>
      </c>
      <c r="X79" s="190">
        <f>SUM(X76:X78)</f>
        <v>11645</v>
      </c>
      <c r="Y79" s="190">
        <f>SUM(Y76:Y78)</f>
        <v>93160</v>
      </c>
    </row>
    <row r="80" spans="1:25" ht="25.5" customHeight="1" x14ac:dyDescent="0.25">
      <c r="A80" s="174" t="s">
        <v>125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6"/>
      <c r="Y80" s="163"/>
    </row>
    <row r="81" spans="1:25" ht="21" customHeight="1" x14ac:dyDescent="0.25">
      <c r="A81" s="163">
        <v>1</v>
      </c>
      <c r="B81" s="164" t="s">
        <v>118</v>
      </c>
      <c r="C81" s="166">
        <v>1</v>
      </c>
      <c r="D81" s="166">
        <v>12</v>
      </c>
      <c r="E81" s="191">
        <v>2512</v>
      </c>
      <c r="F81" s="192">
        <f>E81*C81</f>
        <v>2512</v>
      </c>
      <c r="G81" s="192"/>
      <c r="H81" s="139"/>
      <c r="I81" s="59">
        <f>ROUNDUP(F81*20%,0)</f>
        <v>503</v>
      </c>
      <c r="J81" s="59"/>
      <c r="K81" s="59"/>
      <c r="L81" s="59"/>
      <c r="M81" s="59"/>
      <c r="N81" s="59">
        <f>ROUNDUP(F81*30%,0)</f>
        <v>754</v>
      </c>
      <c r="O81" s="59"/>
      <c r="P81" s="59"/>
      <c r="Q81" s="59"/>
      <c r="R81" s="59"/>
      <c r="S81" s="59"/>
      <c r="T81" s="59"/>
      <c r="U81" s="59"/>
      <c r="V81" s="59"/>
      <c r="W81" s="139">
        <f t="shared" ref="W81:W86" si="19">SUM(H81:V81)</f>
        <v>1257</v>
      </c>
      <c r="X81" s="138">
        <f>F81+W81</f>
        <v>3769</v>
      </c>
      <c r="Y81" s="186">
        <f>X81*8</f>
        <v>30152</v>
      </c>
    </row>
    <row r="82" spans="1:25" ht="21" customHeight="1" x14ac:dyDescent="0.25">
      <c r="A82" s="163">
        <v>2</v>
      </c>
      <c r="B82" s="164" t="s">
        <v>126</v>
      </c>
      <c r="C82" s="166">
        <f>0.5+0.25</f>
        <v>0.75</v>
      </c>
      <c r="D82" s="166">
        <v>5</v>
      </c>
      <c r="E82" s="191">
        <v>1612</v>
      </c>
      <c r="F82" s="192">
        <f>E82*C82</f>
        <v>1209</v>
      </c>
      <c r="G82" s="192"/>
      <c r="H82" s="139"/>
      <c r="I82" s="13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139">
        <f t="shared" si="19"/>
        <v>0</v>
      </c>
      <c r="X82" s="138">
        <f>F82+W82</f>
        <v>1209</v>
      </c>
      <c r="Y82" s="186">
        <f>X82*8</f>
        <v>9672</v>
      </c>
    </row>
    <row r="83" spans="1:25" ht="21" customHeight="1" x14ac:dyDescent="0.25">
      <c r="A83" s="163">
        <v>3</v>
      </c>
      <c r="B83" s="164" t="s">
        <v>127</v>
      </c>
      <c r="C83" s="166">
        <v>1</v>
      </c>
      <c r="D83" s="166">
        <v>10</v>
      </c>
      <c r="E83" s="191">
        <v>2157</v>
      </c>
      <c r="F83" s="192">
        <f>E83*C83</f>
        <v>2157</v>
      </c>
      <c r="G83" s="192"/>
      <c r="H83" s="139"/>
      <c r="I83" s="59">
        <f>ROUNDUP(F83*20%,0)</f>
        <v>432</v>
      </c>
      <c r="J83" s="59"/>
      <c r="K83" s="59"/>
      <c r="L83" s="59"/>
      <c r="M83" s="59"/>
      <c r="N83" s="59">
        <f>ROUNDUP(F83*30%,0)</f>
        <v>648</v>
      </c>
      <c r="O83" s="59"/>
      <c r="P83" s="59"/>
      <c r="Q83" s="59"/>
      <c r="R83" s="59"/>
      <c r="S83" s="59"/>
      <c r="T83" s="59"/>
      <c r="U83" s="59"/>
      <c r="V83" s="59"/>
      <c r="W83" s="139">
        <f t="shared" si="19"/>
        <v>1080</v>
      </c>
      <c r="X83" s="138">
        <f>F83+W83</f>
        <v>3237</v>
      </c>
      <c r="Y83" s="186">
        <f>X83*8</f>
        <v>25896</v>
      </c>
    </row>
    <row r="84" spans="1:25" ht="21" customHeight="1" x14ac:dyDescent="0.25">
      <c r="A84" s="163">
        <v>4</v>
      </c>
      <c r="B84" s="164" t="s">
        <v>128</v>
      </c>
      <c r="C84" s="166">
        <v>1</v>
      </c>
      <c r="D84" s="166">
        <v>8</v>
      </c>
      <c r="E84" s="193">
        <v>1943</v>
      </c>
      <c r="F84" s="192">
        <f>E84*C84</f>
        <v>1943</v>
      </c>
      <c r="G84" s="192"/>
      <c r="H84" s="139"/>
      <c r="I84" s="59">
        <f>ROUNDUP(F84*20%,0)</f>
        <v>389</v>
      </c>
      <c r="J84" s="59"/>
      <c r="K84" s="59"/>
      <c r="L84" s="59"/>
      <c r="M84" s="59"/>
      <c r="N84" s="59">
        <f>ROUNDUP(F84*30%,0)</f>
        <v>583</v>
      </c>
      <c r="O84" s="59"/>
      <c r="P84" s="59"/>
      <c r="Q84" s="59"/>
      <c r="R84" s="59"/>
      <c r="S84" s="59"/>
      <c r="T84" s="59"/>
      <c r="U84" s="59"/>
      <c r="V84" s="59"/>
      <c r="W84" s="139">
        <f t="shared" si="19"/>
        <v>972</v>
      </c>
      <c r="X84" s="138">
        <f>F84+W84</f>
        <v>2915</v>
      </c>
      <c r="Y84" s="186">
        <f>X84*8</f>
        <v>23320</v>
      </c>
    </row>
    <row r="85" spans="1:25" ht="21" customHeight="1" x14ac:dyDescent="0.25">
      <c r="A85" s="163">
        <v>5</v>
      </c>
      <c r="B85" s="164" t="s">
        <v>119</v>
      </c>
      <c r="C85" s="166">
        <v>1</v>
      </c>
      <c r="D85" s="166">
        <v>7</v>
      </c>
      <c r="E85" s="191">
        <v>1825</v>
      </c>
      <c r="F85" s="192">
        <f>E85*C85</f>
        <v>1825</v>
      </c>
      <c r="G85" s="192"/>
      <c r="H85" s="13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139">
        <f t="shared" si="19"/>
        <v>0</v>
      </c>
      <c r="X85" s="138">
        <f>F85+W85</f>
        <v>1825</v>
      </c>
      <c r="Y85" s="186">
        <f>X85*8</f>
        <v>14600</v>
      </c>
    </row>
    <row r="86" spans="1:25" ht="21" customHeight="1" x14ac:dyDescent="0.25">
      <c r="A86" s="187"/>
      <c r="B86" s="164"/>
      <c r="C86" s="189">
        <f>SUM(C81:C85)</f>
        <v>4.75</v>
      </c>
      <c r="D86" s="189"/>
      <c r="E86" s="189"/>
      <c r="F86" s="190">
        <f>SUM(F81:F85)</f>
        <v>9646</v>
      </c>
      <c r="G86" s="190"/>
      <c r="H86" s="189">
        <f>SUM(H81:H85)</f>
        <v>0</v>
      </c>
      <c r="I86" s="189">
        <f>SUM(I81:I85)</f>
        <v>1324</v>
      </c>
      <c r="J86" s="189">
        <f t="shared" ref="J86:V86" si="20">SUM(J81:J85)</f>
        <v>0</v>
      </c>
      <c r="K86" s="189">
        <f t="shared" si="20"/>
        <v>0</v>
      </c>
      <c r="L86" s="189">
        <f t="shared" si="20"/>
        <v>0</v>
      </c>
      <c r="M86" s="189">
        <f t="shared" si="20"/>
        <v>0</v>
      </c>
      <c r="N86" s="189">
        <f t="shared" si="20"/>
        <v>1985</v>
      </c>
      <c r="O86" s="189">
        <f t="shared" si="20"/>
        <v>0</v>
      </c>
      <c r="P86" s="189">
        <f t="shared" si="20"/>
        <v>0</v>
      </c>
      <c r="Q86" s="189">
        <f t="shared" si="20"/>
        <v>0</v>
      </c>
      <c r="R86" s="189">
        <f t="shared" si="20"/>
        <v>0</v>
      </c>
      <c r="S86" s="189">
        <f t="shared" si="20"/>
        <v>0</v>
      </c>
      <c r="T86" s="189">
        <f t="shared" si="20"/>
        <v>0</v>
      </c>
      <c r="U86" s="189">
        <f t="shared" si="20"/>
        <v>0</v>
      </c>
      <c r="V86" s="189">
        <f t="shared" si="20"/>
        <v>0</v>
      </c>
      <c r="W86" s="139">
        <f t="shared" si="19"/>
        <v>3309</v>
      </c>
      <c r="X86" s="190">
        <f>SUM(X81:X85)</f>
        <v>12955</v>
      </c>
      <c r="Y86" s="190">
        <f>SUM(Y81:Y85)</f>
        <v>103640</v>
      </c>
    </row>
    <row r="87" spans="1:25" ht="21" customHeight="1" x14ac:dyDescent="0.25">
      <c r="A87" s="174" t="s">
        <v>129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6"/>
      <c r="Y87" s="163"/>
    </row>
    <row r="88" spans="1:25" ht="21" customHeight="1" x14ac:dyDescent="0.25">
      <c r="A88" s="163">
        <v>1</v>
      </c>
      <c r="B88" s="164" t="s">
        <v>118</v>
      </c>
      <c r="C88" s="166">
        <v>1</v>
      </c>
      <c r="D88" s="166">
        <v>12</v>
      </c>
      <c r="E88" s="191">
        <v>2512</v>
      </c>
      <c r="F88" s="138">
        <f>E88*C88</f>
        <v>2512</v>
      </c>
      <c r="G88" s="138"/>
      <c r="H88" s="139"/>
      <c r="I88" s="59">
        <f>ROUNDUP(F88*20%,0)</f>
        <v>503</v>
      </c>
      <c r="J88" s="59"/>
      <c r="K88" s="59"/>
      <c r="L88" s="59"/>
      <c r="M88" s="59"/>
      <c r="N88" s="59">
        <f>ROUNDUP(F88*30%,0)</f>
        <v>754</v>
      </c>
      <c r="O88" s="59"/>
      <c r="P88" s="59"/>
      <c r="Q88" s="59"/>
      <c r="R88" s="59"/>
      <c r="S88" s="59"/>
      <c r="T88" s="59"/>
      <c r="U88" s="59"/>
      <c r="V88" s="59"/>
      <c r="W88" s="139">
        <f>SUM(H88:V88)</f>
        <v>1257</v>
      </c>
      <c r="X88" s="138">
        <f>F88+W88</f>
        <v>3769</v>
      </c>
      <c r="Y88" s="186">
        <f>X88*8</f>
        <v>30152</v>
      </c>
    </row>
    <row r="89" spans="1:25" ht="21" customHeight="1" x14ac:dyDescent="0.25">
      <c r="A89" s="163">
        <v>2</v>
      </c>
      <c r="B89" s="164" t="s">
        <v>127</v>
      </c>
      <c r="C89" s="166">
        <f>2+1-1</f>
        <v>2</v>
      </c>
      <c r="D89" s="166">
        <v>10</v>
      </c>
      <c r="E89" s="191">
        <v>2157</v>
      </c>
      <c r="F89" s="138">
        <f>E89*C89</f>
        <v>4314</v>
      </c>
      <c r="G89" s="138"/>
      <c r="H89" s="139"/>
      <c r="I89" s="59">
        <f>ROUNDUP(F89*20%,0)</f>
        <v>863</v>
      </c>
      <c r="J89" s="59"/>
      <c r="K89" s="59"/>
      <c r="L89" s="59"/>
      <c r="M89" s="59"/>
      <c r="N89" s="59">
        <f>ROUNDUP(F89*30%,0)</f>
        <v>1295</v>
      </c>
      <c r="O89" s="59"/>
      <c r="P89" s="59"/>
      <c r="Q89" s="59"/>
      <c r="R89" s="59"/>
      <c r="S89" s="59"/>
      <c r="T89" s="59"/>
      <c r="U89" s="59"/>
      <c r="V89" s="59"/>
      <c r="W89" s="139">
        <f>SUM(H89:V89)</f>
        <v>2158</v>
      </c>
      <c r="X89" s="138">
        <f>F89+W89</f>
        <v>6472</v>
      </c>
      <c r="Y89" s="186">
        <f>X89*8</f>
        <v>51776</v>
      </c>
    </row>
    <row r="90" spans="1:25" ht="21" customHeight="1" x14ac:dyDescent="0.25">
      <c r="A90" s="163">
        <v>3</v>
      </c>
      <c r="B90" s="164" t="s">
        <v>130</v>
      </c>
      <c r="C90" s="166">
        <v>1</v>
      </c>
      <c r="D90" s="163">
        <v>9</v>
      </c>
      <c r="E90" s="134">
        <v>2050</v>
      </c>
      <c r="F90" s="183">
        <f>E90*C90</f>
        <v>2050</v>
      </c>
      <c r="G90" s="138"/>
      <c r="H90" s="139"/>
      <c r="I90" s="59">
        <f>ROUNDUP(F90*20%,0)</f>
        <v>410</v>
      </c>
      <c r="J90" s="59"/>
      <c r="K90" s="59"/>
      <c r="L90" s="59"/>
      <c r="M90" s="59"/>
      <c r="N90" s="59">
        <f>ROUNDUP(F90*30%,0)</f>
        <v>615</v>
      </c>
      <c r="O90" s="59"/>
      <c r="P90" s="59"/>
      <c r="Q90" s="59"/>
      <c r="R90" s="59"/>
      <c r="S90" s="59"/>
      <c r="T90" s="59"/>
      <c r="U90" s="59"/>
      <c r="V90" s="59"/>
      <c r="W90" s="139">
        <f>SUM(H90:V90)</f>
        <v>1025</v>
      </c>
      <c r="X90" s="138">
        <f>F90+W90</f>
        <v>3075</v>
      </c>
      <c r="Y90" s="186">
        <f>X90*8</f>
        <v>24600</v>
      </c>
    </row>
    <row r="91" spans="1:25" ht="21" customHeight="1" x14ac:dyDescent="0.25">
      <c r="A91" s="163">
        <v>4</v>
      </c>
      <c r="B91" s="164" t="s">
        <v>128</v>
      </c>
      <c r="C91" s="166">
        <f>2-1</f>
        <v>1</v>
      </c>
      <c r="D91" s="166">
        <v>8</v>
      </c>
      <c r="E91" s="191">
        <v>1943</v>
      </c>
      <c r="F91" s="138">
        <f>E91*C91</f>
        <v>1943</v>
      </c>
      <c r="G91" s="138"/>
      <c r="H91" s="139"/>
      <c r="I91" s="59">
        <f>ROUNDUP(F91*20%,0)</f>
        <v>389</v>
      </c>
      <c r="J91" s="59"/>
      <c r="K91" s="59"/>
      <c r="L91" s="59"/>
      <c r="M91" s="59"/>
      <c r="N91" s="59">
        <f>ROUNDUP(F91*30%,0)</f>
        <v>583</v>
      </c>
      <c r="O91" s="59"/>
      <c r="P91" s="59"/>
      <c r="Q91" s="59"/>
      <c r="R91" s="59"/>
      <c r="S91" s="59"/>
      <c r="T91" s="59"/>
      <c r="U91" s="59"/>
      <c r="V91" s="59"/>
      <c r="W91" s="139">
        <f>SUM(H91:V91)</f>
        <v>972</v>
      </c>
      <c r="X91" s="138">
        <f>F91+W91</f>
        <v>2915</v>
      </c>
      <c r="Y91" s="186">
        <f>X91*8</f>
        <v>23320</v>
      </c>
    </row>
    <row r="92" spans="1:25" ht="17.25" customHeight="1" x14ac:dyDescent="0.25">
      <c r="A92" s="187"/>
      <c r="B92" s="164"/>
      <c r="C92" s="189">
        <f>SUM(C88:C91)</f>
        <v>5</v>
      </c>
      <c r="D92" s="189"/>
      <c r="E92" s="189"/>
      <c r="F92" s="190">
        <f t="shared" ref="F92:V92" si="21">SUM(F88:F91)</f>
        <v>10819</v>
      </c>
      <c r="G92" s="190"/>
      <c r="H92" s="189">
        <f>SUM(H88:H91)</f>
        <v>0</v>
      </c>
      <c r="I92" s="189">
        <f>SUM(I88:I91)</f>
        <v>2165</v>
      </c>
      <c r="J92" s="189">
        <f t="shared" si="21"/>
        <v>0</v>
      </c>
      <c r="K92" s="189">
        <f t="shared" si="21"/>
        <v>0</v>
      </c>
      <c r="L92" s="189">
        <f t="shared" si="21"/>
        <v>0</v>
      </c>
      <c r="M92" s="189">
        <f t="shared" si="21"/>
        <v>0</v>
      </c>
      <c r="N92" s="189">
        <f t="shared" si="21"/>
        <v>3247</v>
      </c>
      <c r="O92" s="189">
        <f t="shared" si="21"/>
        <v>0</v>
      </c>
      <c r="P92" s="189">
        <f t="shared" si="21"/>
        <v>0</v>
      </c>
      <c r="Q92" s="189">
        <f t="shared" si="21"/>
        <v>0</v>
      </c>
      <c r="R92" s="189">
        <f t="shared" si="21"/>
        <v>0</v>
      </c>
      <c r="S92" s="189">
        <f t="shared" si="21"/>
        <v>0</v>
      </c>
      <c r="T92" s="189">
        <f t="shared" si="21"/>
        <v>0</v>
      </c>
      <c r="U92" s="189">
        <f t="shared" si="21"/>
        <v>0</v>
      </c>
      <c r="V92" s="189">
        <f t="shared" si="21"/>
        <v>0</v>
      </c>
      <c r="W92" s="139">
        <f>SUM(H92:V92)</f>
        <v>5412</v>
      </c>
      <c r="X92" s="190">
        <f>SUM(X88:X91)</f>
        <v>16231</v>
      </c>
      <c r="Y92" s="190">
        <f>SUM(Y88:Y91)</f>
        <v>129848</v>
      </c>
    </row>
    <row r="93" spans="1:25" ht="22.5" customHeight="1" x14ac:dyDescent="0.25">
      <c r="A93" s="174" t="s">
        <v>131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6"/>
    </row>
    <row r="94" spans="1:25" ht="16.5" customHeight="1" x14ac:dyDescent="0.25">
      <c r="A94" s="163">
        <v>1</v>
      </c>
      <c r="B94" s="164" t="s">
        <v>132</v>
      </c>
      <c r="C94" s="163">
        <v>1</v>
      </c>
      <c r="D94" s="163">
        <v>11</v>
      </c>
      <c r="E94" s="134">
        <v>2334</v>
      </c>
      <c r="F94" s="183">
        <f>E94*C94</f>
        <v>2334</v>
      </c>
      <c r="G94" s="183"/>
      <c r="H94" s="139"/>
      <c r="I94" s="59">
        <f>ROUNDUP(F94*20%,0)</f>
        <v>467</v>
      </c>
      <c r="J94" s="59"/>
      <c r="K94" s="59"/>
      <c r="L94" s="59"/>
      <c r="M94" s="59"/>
      <c r="N94" s="59">
        <f>ROUNDUP(F94*30%,0)</f>
        <v>701</v>
      </c>
      <c r="O94" s="59"/>
      <c r="P94" s="59"/>
      <c r="Q94" s="59"/>
      <c r="R94" s="59"/>
      <c r="S94" s="59"/>
      <c r="T94" s="59"/>
      <c r="U94" s="59"/>
      <c r="V94" s="59"/>
      <c r="W94" s="59">
        <f>SUM(H94:V94)</f>
        <v>1168</v>
      </c>
      <c r="X94" s="138">
        <f>C94*E94+W94</f>
        <v>3502</v>
      </c>
      <c r="Y94" s="186">
        <f>X94*8</f>
        <v>28016</v>
      </c>
    </row>
    <row r="95" spans="1:25" ht="21" customHeight="1" x14ac:dyDescent="0.25">
      <c r="A95" s="163">
        <v>2</v>
      </c>
      <c r="B95" s="164" t="s">
        <v>99</v>
      </c>
      <c r="C95" s="163">
        <v>3</v>
      </c>
      <c r="D95" s="163">
        <v>9</v>
      </c>
      <c r="E95" s="134">
        <v>2050</v>
      </c>
      <c r="F95" s="183">
        <f>E95*C95</f>
        <v>6150</v>
      </c>
      <c r="G95" s="183"/>
      <c r="H95" s="139"/>
      <c r="I95" s="13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>
        <f>SUM(H95:V95)</f>
        <v>0</v>
      </c>
      <c r="X95" s="138">
        <f>C95*E95+W95</f>
        <v>6150</v>
      </c>
      <c r="Y95" s="186">
        <f>X95*8</f>
        <v>49200</v>
      </c>
    </row>
    <row r="96" spans="1:25" ht="21" customHeight="1" x14ac:dyDescent="0.25">
      <c r="A96" s="163">
        <v>3</v>
      </c>
      <c r="B96" s="164" t="s">
        <v>100</v>
      </c>
      <c r="C96" s="163">
        <v>1</v>
      </c>
      <c r="D96" s="163">
        <v>8</v>
      </c>
      <c r="E96" s="134">
        <v>1943</v>
      </c>
      <c r="F96" s="183">
        <f>E96*C96</f>
        <v>1943</v>
      </c>
      <c r="G96" s="183"/>
      <c r="H96" s="139"/>
      <c r="I96" s="13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>
        <f>SUM(H96:V96)</f>
        <v>0</v>
      </c>
      <c r="X96" s="138">
        <f>C96*E96+W96</f>
        <v>1943</v>
      </c>
      <c r="Y96" s="186">
        <f>X96*8</f>
        <v>15544</v>
      </c>
    </row>
    <row r="97" spans="1:25" ht="21" customHeight="1" x14ac:dyDescent="0.25">
      <c r="A97" s="163">
        <v>4</v>
      </c>
      <c r="B97" s="164" t="s">
        <v>102</v>
      </c>
      <c r="C97" s="163">
        <v>1</v>
      </c>
      <c r="D97" s="163">
        <v>7</v>
      </c>
      <c r="E97" s="134">
        <v>1825</v>
      </c>
      <c r="F97" s="183">
        <f>E97*C97</f>
        <v>1825</v>
      </c>
      <c r="G97" s="183"/>
      <c r="H97" s="139"/>
      <c r="I97" s="13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>
        <f>SUM(H97:V97)</f>
        <v>0</v>
      </c>
      <c r="X97" s="138">
        <f>C97*E97+W97</f>
        <v>1825</v>
      </c>
      <c r="Y97" s="186">
        <f>X97*8</f>
        <v>14600</v>
      </c>
    </row>
    <row r="98" spans="1:25" ht="14.25" customHeight="1" x14ac:dyDescent="0.25">
      <c r="A98" s="163"/>
      <c r="B98" s="164"/>
      <c r="C98" s="189">
        <f>SUM(C94:C97)</f>
        <v>6</v>
      </c>
      <c r="D98" s="189"/>
      <c r="E98" s="189"/>
      <c r="F98" s="190">
        <f>SUM(F94:F97)</f>
        <v>12252</v>
      </c>
      <c r="G98" s="190"/>
      <c r="H98" s="189">
        <f>SUM(H94:H97)</f>
        <v>0</v>
      </c>
      <c r="I98" s="189">
        <f>SUM(I94:I97)</f>
        <v>467</v>
      </c>
      <c r="J98" s="189">
        <f t="shared" ref="J98:V98" si="22">SUM(J94:J97)</f>
        <v>0</v>
      </c>
      <c r="K98" s="189">
        <f t="shared" si="22"/>
        <v>0</v>
      </c>
      <c r="L98" s="189">
        <f t="shared" si="22"/>
        <v>0</v>
      </c>
      <c r="M98" s="189">
        <f t="shared" si="22"/>
        <v>0</v>
      </c>
      <c r="N98" s="189">
        <f t="shared" si="22"/>
        <v>701</v>
      </c>
      <c r="O98" s="189">
        <f t="shared" si="22"/>
        <v>0</v>
      </c>
      <c r="P98" s="189">
        <f t="shared" si="22"/>
        <v>0</v>
      </c>
      <c r="Q98" s="189">
        <f t="shared" si="22"/>
        <v>0</v>
      </c>
      <c r="R98" s="189">
        <f t="shared" si="22"/>
        <v>0</v>
      </c>
      <c r="S98" s="189">
        <f t="shared" si="22"/>
        <v>0</v>
      </c>
      <c r="T98" s="189">
        <f t="shared" si="22"/>
        <v>0</v>
      </c>
      <c r="U98" s="189">
        <f t="shared" si="22"/>
        <v>0</v>
      </c>
      <c r="V98" s="189">
        <f t="shared" si="22"/>
        <v>0</v>
      </c>
      <c r="W98" s="59">
        <f>SUM(H98:V98)</f>
        <v>1168</v>
      </c>
      <c r="X98" s="143">
        <f>SUM(X94:X97)</f>
        <v>13420</v>
      </c>
      <c r="Y98" s="143">
        <f>SUM(Y94:Y97)</f>
        <v>107360</v>
      </c>
    </row>
    <row r="99" spans="1:25" ht="14.25" customHeight="1" x14ac:dyDescent="0.25">
      <c r="A99" s="174" t="s">
        <v>133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6"/>
    </row>
    <row r="100" spans="1:25" ht="15.6" customHeight="1" x14ac:dyDescent="0.25">
      <c r="A100" s="163">
        <v>1</v>
      </c>
      <c r="B100" s="164" t="s">
        <v>118</v>
      </c>
      <c r="C100" s="163">
        <v>1</v>
      </c>
      <c r="D100" s="163">
        <v>10</v>
      </c>
      <c r="E100" s="134">
        <v>2157</v>
      </c>
      <c r="F100" s="183">
        <f>E100*C100</f>
        <v>2157</v>
      </c>
      <c r="G100" s="183"/>
      <c r="H100" s="139"/>
      <c r="I100" s="13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139">
        <f>SUM(H100:V100)</f>
        <v>0</v>
      </c>
      <c r="X100" s="138">
        <f>C100*E100+W100</f>
        <v>2157</v>
      </c>
      <c r="Y100" s="186">
        <f>X100*8</f>
        <v>17256</v>
      </c>
    </row>
    <row r="101" spans="1:25" ht="16.8" customHeight="1" x14ac:dyDescent="0.25">
      <c r="A101" s="163">
        <v>2</v>
      </c>
      <c r="B101" s="194" t="s">
        <v>126</v>
      </c>
      <c r="C101" s="163">
        <v>3</v>
      </c>
      <c r="D101" s="195">
        <v>5</v>
      </c>
      <c r="E101" s="134">
        <v>1612</v>
      </c>
      <c r="F101" s="183">
        <f>E101*C101</f>
        <v>4836</v>
      </c>
      <c r="G101" s="183"/>
      <c r="H101" s="139"/>
      <c r="I101" s="13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139">
        <f>SUM(H101:V101)</f>
        <v>0</v>
      </c>
      <c r="X101" s="138">
        <f>C101*E101+W101</f>
        <v>4836</v>
      </c>
      <c r="Y101" s="186">
        <f>X101*8</f>
        <v>38688</v>
      </c>
    </row>
    <row r="102" spans="1:25" ht="16.8" customHeight="1" x14ac:dyDescent="0.25">
      <c r="A102" s="163">
        <v>3</v>
      </c>
      <c r="B102" s="164" t="s">
        <v>134</v>
      </c>
      <c r="C102" s="163">
        <f>109.5+4+6.5+10-7+6+8</f>
        <v>137</v>
      </c>
      <c r="D102" s="163">
        <v>2</v>
      </c>
      <c r="E102" s="134">
        <v>1521</v>
      </c>
      <c r="F102" s="183">
        <f>E102*C102</f>
        <v>208377</v>
      </c>
      <c r="G102" s="183"/>
      <c r="H102" s="139"/>
      <c r="I102" s="13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196">
        <v>51253</v>
      </c>
      <c r="W102" s="167">
        <f>SUM(H102:V102)</f>
        <v>51253</v>
      </c>
      <c r="X102" s="138">
        <f>C102*E102+W102</f>
        <v>259630</v>
      </c>
      <c r="Y102" s="186">
        <f>X102*8</f>
        <v>2077040</v>
      </c>
    </row>
    <row r="103" spans="1:25" ht="14.25" customHeight="1" x14ac:dyDescent="0.25">
      <c r="A103" s="163"/>
      <c r="B103" s="164"/>
      <c r="C103" s="189">
        <f>SUM(C100:C102)</f>
        <v>141</v>
      </c>
      <c r="D103" s="189"/>
      <c r="E103" s="189"/>
      <c r="F103" s="190">
        <f>SUM(F100:F102)</f>
        <v>215370</v>
      </c>
      <c r="G103" s="190"/>
      <c r="H103" s="190">
        <f t="shared" ref="H103:Y103" si="23">SUM(H100:H102)</f>
        <v>0</v>
      </c>
      <c r="I103" s="190">
        <f t="shared" si="23"/>
        <v>0</v>
      </c>
      <c r="J103" s="190">
        <f t="shared" si="23"/>
        <v>0</v>
      </c>
      <c r="K103" s="190">
        <f t="shared" si="23"/>
        <v>0</v>
      </c>
      <c r="L103" s="190">
        <f t="shared" si="23"/>
        <v>0</v>
      </c>
      <c r="M103" s="190">
        <f t="shared" si="23"/>
        <v>0</v>
      </c>
      <c r="N103" s="190">
        <f t="shared" si="23"/>
        <v>0</v>
      </c>
      <c r="O103" s="190">
        <f t="shared" si="23"/>
        <v>0</v>
      </c>
      <c r="P103" s="190">
        <f t="shared" si="23"/>
        <v>0</v>
      </c>
      <c r="Q103" s="190">
        <f t="shared" si="23"/>
        <v>0</v>
      </c>
      <c r="R103" s="190">
        <f t="shared" si="23"/>
        <v>0</v>
      </c>
      <c r="S103" s="190">
        <f t="shared" si="23"/>
        <v>0</v>
      </c>
      <c r="T103" s="197">
        <f t="shared" si="23"/>
        <v>0</v>
      </c>
      <c r="U103" s="197">
        <f t="shared" si="23"/>
        <v>0</v>
      </c>
      <c r="V103" s="198">
        <f t="shared" si="23"/>
        <v>51253</v>
      </c>
      <c r="W103" s="198">
        <f t="shared" si="23"/>
        <v>51253</v>
      </c>
      <c r="X103" s="143">
        <f t="shared" si="23"/>
        <v>266623</v>
      </c>
      <c r="Y103" s="143">
        <f t="shared" si="23"/>
        <v>2132984</v>
      </c>
    </row>
    <row r="104" spans="1:25" ht="21" customHeight="1" x14ac:dyDescent="0.25">
      <c r="A104" s="174" t="s">
        <v>135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6"/>
      <c r="Y104" s="163"/>
    </row>
    <row r="105" spans="1:25" ht="21" customHeight="1" x14ac:dyDescent="0.25">
      <c r="A105" s="163">
        <v>1</v>
      </c>
      <c r="B105" s="199" t="s">
        <v>118</v>
      </c>
      <c r="C105" s="166">
        <v>1</v>
      </c>
      <c r="D105" s="166">
        <v>12</v>
      </c>
      <c r="E105" s="137">
        <v>2512</v>
      </c>
      <c r="F105" s="138">
        <f t="shared" ref="F105:F113" si="24">E105*C105</f>
        <v>2512</v>
      </c>
      <c r="G105" s="138"/>
      <c r="H105" s="192"/>
      <c r="I105" s="59">
        <f t="shared" ref="I105:I111" si="25">ROUNDUP(F105*20%,0)</f>
        <v>503</v>
      </c>
      <c r="J105" s="59"/>
      <c r="K105" s="59"/>
      <c r="L105" s="59"/>
      <c r="M105" s="59"/>
      <c r="N105" s="59">
        <f>ROUNDUP(F105*30%,0)</f>
        <v>754</v>
      </c>
      <c r="O105" s="59"/>
      <c r="P105" s="59"/>
      <c r="Q105" s="59"/>
      <c r="R105" s="59"/>
      <c r="S105" s="59">
        <f>ROUNDUP(F105*15%,0)</f>
        <v>377</v>
      </c>
      <c r="T105" s="59"/>
      <c r="U105" s="59"/>
      <c r="V105" s="59"/>
      <c r="W105" s="139">
        <f t="shared" ref="W105:W113" si="26">SUM(H105:V105)</f>
        <v>1634</v>
      </c>
      <c r="X105" s="138">
        <f t="shared" ref="X105:X113" si="27">F105+W105</f>
        <v>4146</v>
      </c>
      <c r="Y105" s="186">
        <f>X105*8</f>
        <v>33168</v>
      </c>
    </row>
    <row r="106" spans="1:25" ht="17.25" customHeight="1" x14ac:dyDescent="0.25">
      <c r="A106" s="163">
        <v>2</v>
      </c>
      <c r="B106" s="199" t="s">
        <v>136</v>
      </c>
      <c r="C106" s="166">
        <v>3</v>
      </c>
      <c r="D106" s="166"/>
      <c r="E106" s="137">
        <v>2386</v>
      </c>
      <c r="F106" s="138">
        <f t="shared" si="24"/>
        <v>7158</v>
      </c>
      <c r="G106" s="138"/>
      <c r="H106" s="192"/>
      <c r="I106" s="59">
        <f t="shared" si="25"/>
        <v>1432</v>
      </c>
      <c r="J106" s="59"/>
      <c r="K106" s="59"/>
      <c r="L106" s="59"/>
      <c r="M106" s="59"/>
      <c r="N106" s="59">
        <f>ROUNDUP(F106*30%,0)</f>
        <v>2148</v>
      </c>
      <c r="O106" s="59"/>
      <c r="P106" s="59"/>
      <c r="Q106" s="59">
        <f>ROUNDUP(E106*25%,0)</f>
        <v>597</v>
      </c>
      <c r="R106" s="59"/>
      <c r="S106" s="59">
        <f>ROUNDUP(E106*15%,0)</f>
        <v>358</v>
      </c>
      <c r="T106" s="59"/>
      <c r="U106" s="59"/>
      <c r="V106" s="59"/>
      <c r="W106" s="139">
        <f t="shared" si="26"/>
        <v>4535</v>
      </c>
      <c r="X106" s="138">
        <f t="shared" si="27"/>
        <v>11693</v>
      </c>
      <c r="Y106" s="186">
        <f t="shared" ref="Y106:Y113" si="28">X106*8</f>
        <v>93544</v>
      </c>
    </row>
    <row r="107" spans="1:25" ht="17.25" customHeight="1" x14ac:dyDescent="0.25">
      <c r="A107" s="163">
        <v>3</v>
      </c>
      <c r="B107" s="199" t="s">
        <v>126</v>
      </c>
      <c r="C107" s="166">
        <v>4</v>
      </c>
      <c r="D107" s="166">
        <v>5</v>
      </c>
      <c r="E107" s="137">
        <v>1612</v>
      </c>
      <c r="F107" s="138">
        <f t="shared" si="24"/>
        <v>6448</v>
      </c>
      <c r="G107" s="138"/>
      <c r="H107" s="192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139">
        <f t="shared" si="26"/>
        <v>0</v>
      </c>
      <c r="X107" s="138">
        <f t="shared" si="27"/>
        <v>6448</v>
      </c>
      <c r="Y107" s="186">
        <f t="shared" si="28"/>
        <v>51584</v>
      </c>
    </row>
    <row r="108" spans="1:25" ht="16.5" customHeight="1" x14ac:dyDescent="0.25">
      <c r="A108" s="163">
        <v>4</v>
      </c>
      <c r="B108" s="199" t="s">
        <v>127</v>
      </c>
      <c r="C108" s="166">
        <f>19-1</f>
        <v>18</v>
      </c>
      <c r="D108" s="166">
        <v>10</v>
      </c>
      <c r="E108" s="137">
        <v>2157</v>
      </c>
      <c r="F108" s="138">
        <f t="shared" si="24"/>
        <v>38826</v>
      </c>
      <c r="G108" s="138"/>
      <c r="H108" s="192"/>
      <c r="I108" s="59">
        <f t="shared" si="25"/>
        <v>7766</v>
      </c>
      <c r="J108" s="59"/>
      <c r="K108" s="59"/>
      <c r="L108" s="59"/>
      <c r="M108" s="59"/>
      <c r="N108" s="59">
        <f>ROUNDUP(F108*30%,0)</f>
        <v>11648</v>
      </c>
      <c r="O108" s="59"/>
      <c r="P108" s="59"/>
      <c r="Q108" s="59"/>
      <c r="R108" s="59"/>
      <c r="S108" s="59"/>
      <c r="T108" s="59"/>
      <c r="U108" s="59"/>
      <c r="V108" s="59"/>
      <c r="W108" s="200">
        <f t="shared" si="26"/>
        <v>19414</v>
      </c>
      <c r="X108" s="138">
        <f t="shared" si="27"/>
        <v>58240</v>
      </c>
      <c r="Y108" s="186">
        <f t="shared" si="28"/>
        <v>465920</v>
      </c>
    </row>
    <row r="109" spans="1:25" ht="17.25" customHeight="1" x14ac:dyDescent="0.25">
      <c r="A109" s="163">
        <v>5</v>
      </c>
      <c r="B109" s="199" t="s">
        <v>130</v>
      </c>
      <c r="C109" s="166">
        <v>6</v>
      </c>
      <c r="D109" s="166">
        <v>9</v>
      </c>
      <c r="E109" s="137">
        <v>2050</v>
      </c>
      <c r="F109" s="138">
        <f t="shared" si="24"/>
        <v>12300</v>
      </c>
      <c r="G109" s="138"/>
      <c r="H109" s="192"/>
      <c r="I109" s="59">
        <f t="shared" si="25"/>
        <v>2460</v>
      </c>
      <c r="J109" s="59"/>
      <c r="K109" s="59"/>
      <c r="L109" s="59"/>
      <c r="M109" s="59"/>
      <c r="N109" s="59">
        <f>ROUNDUP(F109*30%,0)</f>
        <v>3690</v>
      </c>
      <c r="O109" s="59"/>
      <c r="P109" s="59"/>
      <c r="Q109" s="59"/>
      <c r="R109" s="59"/>
      <c r="S109" s="59"/>
      <c r="T109" s="59"/>
      <c r="U109" s="59"/>
      <c r="V109" s="59"/>
      <c r="W109" s="139">
        <f t="shared" si="26"/>
        <v>6150</v>
      </c>
      <c r="X109" s="138">
        <f t="shared" si="27"/>
        <v>18450</v>
      </c>
      <c r="Y109" s="186">
        <f t="shared" si="28"/>
        <v>147600</v>
      </c>
    </row>
    <row r="110" spans="1:25" ht="17.25" customHeight="1" x14ac:dyDescent="0.25">
      <c r="A110" s="163">
        <v>6</v>
      </c>
      <c r="B110" s="199" t="s">
        <v>128</v>
      </c>
      <c r="C110" s="166">
        <v>3</v>
      </c>
      <c r="D110" s="163">
        <v>8</v>
      </c>
      <c r="E110" s="134">
        <v>1943</v>
      </c>
      <c r="F110" s="183">
        <f>E110*C110</f>
        <v>5829</v>
      </c>
      <c r="G110" s="138"/>
      <c r="H110" s="192"/>
      <c r="I110" s="59">
        <f t="shared" si="25"/>
        <v>1166</v>
      </c>
      <c r="J110" s="59"/>
      <c r="K110" s="59"/>
      <c r="L110" s="59"/>
      <c r="M110" s="59"/>
      <c r="N110" s="59">
        <f>ROUNDUP(F110*30%,0)</f>
        <v>1749</v>
      </c>
      <c r="O110" s="59"/>
      <c r="P110" s="59"/>
      <c r="Q110" s="59"/>
      <c r="R110" s="59"/>
      <c r="S110" s="59"/>
      <c r="T110" s="59"/>
      <c r="U110" s="59"/>
      <c r="V110" s="59"/>
      <c r="W110" s="139">
        <f>SUM(H110:V110)</f>
        <v>2915</v>
      </c>
      <c r="X110" s="138">
        <f>F110+W110</f>
        <v>8744</v>
      </c>
      <c r="Y110" s="186">
        <f t="shared" si="28"/>
        <v>69952</v>
      </c>
    </row>
    <row r="111" spans="1:25" ht="17.25" customHeight="1" x14ac:dyDescent="0.25">
      <c r="A111" s="163">
        <v>7</v>
      </c>
      <c r="B111" s="199" t="s">
        <v>137</v>
      </c>
      <c r="C111" s="166">
        <f>3-2</f>
        <v>1</v>
      </c>
      <c r="D111" s="166">
        <v>7</v>
      </c>
      <c r="E111" s="137">
        <v>1825</v>
      </c>
      <c r="F111" s="138">
        <f t="shared" si="24"/>
        <v>1825</v>
      </c>
      <c r="G111" s="138"/>
      <c r="H111" s="192"/>
      <c r="I111" s="59">
        <f t="shared" si="25"/>
        <v>365</v>
      </c>
      <c r="J111" s="59"/>
      <c r="K111" s="59"/>
      <c r="L111" s="59"/>
      <c r="M111" s="59"/>
      <c r="N111" s="59">
        <f>ROUNDUP(F111*30%,0)</f>
        <v>548</v>
      </c>
      <c r="O111" s="59"/>
      <c r="P111" s="59"/>
      <c r="Q111" s="59"/>
      <c r="R111" s="59"/>
      <c r="S111" s="59"/>
      <c r="T111" s="59"/>
      <c r="U111" s="59"/>
      <c r="V111" s="59"/>
      <c r="W111" s="139">
        <f t="shared" si="26"/>
        <v>913</v>
      </c>
      <c r="X111" s="138">
        <f t="shared" si="27"/>
        <v>2738</v>
      </c>
      <c r="Y111" s="186">
        <f t="shared" si="28"/>
        <v>21904</v>
      </c>
    </row>
    <row r="112" spans="1:25" ht="17.25" customHeight="1" x14ac:dyDescent="0.25">
      <c r="A112" s="163">
        <v>8</v>
      </c>
      <c r="B112" s="164" t="s">
        <v>99</v>
      </c>
      <c r="C112" s="166">
        <f>1+3</f>
        <v>4</v>
      </c>
      <c r="D112" s="166">
        <v>9</v>
      </c>
      <c r="E112" s="137">
        <v>2050</v>
      </c>
      <c r="F112" s="138">
        <f>E112*C112</f>
        <v>8200</v>
      </c>
      <c r="G112" s="138"/>
      <c r="H112" s="192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139">
        <f t="shared" si="26"/>
        <v>0</v>
      </c>
      <c r="X112" s="138">
        <f t="shared" si="27"/>
        <v>8200</v>
      </c>
      <c r="Y112" s="186">
        <f t="shared" si="28"/>
        <v>65600</v>
      </c>
    </row>
    <row r="113" spans="1:29" ht="18" customHeight="1" x14ac:dyDescent="0.25">
      <c r="A113" s="163">
        <v>9</v>
      </c>
      <c r="B113" s="164" t="s">
        <v>138</v>
      </c>
      <c r="C113" s="166">
        <f>1+4.5</f>
        <v>5.5</v>
      </c>
      <c r="D113" s="166">
        <v>9</v>
      </c>
      <c r="E113" s="137">
        <v>2050</v>
      </c>
      <c r="F113" s="138">
        <f t="shared" si="24"/>
        <v>11275</v>
      </c>
      <c r="G113" s="138"/>
      <c r="H113" s="192"/>
      <c r="I113" s="192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139">
        <f t="shared" si="26"/>
        <v>0</v>
      </c>
      <c r="X113" s="138">
        <f t="shared" si="27"/>
        <v>11275</v>
      </c>
      <c r="Y113" s="186">
        <f t="shared" si="28"/>
        <v>90200</v>
      </c>
    </row>
    <row r="114" spans="1:29" ht="17.25" customHeight="1" x14ac:dyDescent="0.25">
      <c r="A114" s="187"/>
      <c r="B114" s="164"/>
      <c r="C114" s="144">
        <f>SUM(C105:C113)</f>
        <v>45.5</v>
      </c>
      <c r="D114" s="144"/>
      <c r="E114" s="144"/>
      <c r="F114" s="143">
        <f>SUM(F105:F113)</f>
        <v>94373</v>
      </c>
      <c r="G114" s="143"/>
      <c r="H114" s="144">
        <f>SUM(H105:H111)</f>
        <v>0</v>
      </c>
      <c r="I114" s="144">
        <f>SUM(I105:I111)</f>
        <v>13692</v>
      </c>
      <c r="J114" s="144">
        <f t="shared" ref="J114:V114" si="29">SUM(J105:J111)</f>
        <v>0</v>
      </c>
      <c r="K114" s="144">
        <f t="shared" si="29"/>
        <v>0</v>
      </c>
      <c r="L114" s="144">
        <f t="shared" si="29"/>
        <v>0</v>
      </c>
      <c r="M114" s="144">
        <f t="shared" si="29"/>
        <v>0</v>
      </c>
      <c r="N114" s="144">
        <f t="shared" si="29"/>
        <v>20537</v>
      </c>
      <c r="O114" s="144">
        <f t="shared" si="29"/>
        <v>0</v>
      </c>
      <c r="P114" s="144">
        <f t="shared" si="29"/>
        <v>0</v>
      </c>
      <c r="Q114" s="144">
        <f t="shared" si="29"/>
        <v>597</v>
      </c>
      <c r="R114" s="144">
        <f t="shared" si="29"/>
        <v>0</v>
      </c>
      <c r="S114" s="144">
        <f t="shared" si="29"/>
        <v>735</v>
      </c>
      <c r="T114" s="144">
        <f t="shared" si="29"/>
        <v>0</v>
      </c>
      <c r="U114" s="144">
        <f t="shared" si="29"/>
        <v>0</v>
      </c>
      <c r="V114" s="144">
        <f t="shared" si="29"/>
        <v>0</v>
      </c>
      <c r="W114" s="200">
        <f>SUM(W105:W113)</f>
        <v>35561</v>
      </c>
      <c r="X114" s="201">
        <f>SUM(X105:X113)</f>
        <v>129934</v>
      </c>
      <c r="Y114" s="201">
        <f>SUM(Y105:Y113)</f>
        <v>1039472</v>
      </c>
    </row>
    <row r="115" spans="1:29" ht="21" customHeight="1" x14ac:dyDescent="0.25">
      <c r="A115" s="174" t="s">
        <v>139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6"/>
    </row>
    <row r="116" spans="1:29" ht="15" customHeight="1" x14ac:dyDescent="0.25">
      <c r="A116" s="163">
        <v>1</v>
      </c>
      <c r="B116" s="164" t="s">
        <v>140</v>
      </c>
      <c r="C116" s="166">
        <f>30-0.5</f>
        <v>29.5</v>
      </c>
      <c r="D116" s="166">
        <v>5</v>
      </c>
      <c r="E116" s="137">
        <v>1612</v>
      </c>
      <c r="F116" s="138">
        <f t="shared" ref="F116:F124" si="30">E116*C116</f>
        <v>47554</v>
      </c>
      <c r="G116" s="138"/>
      <c r="H116" s="139"/>
      <c r="I116" s="13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139">
        <f t="shared" ref="W116:W125" si="31">SUM(H116:V116)</f>
        <v>0</v>
      </c>
      <c r="X116" s="138">
        <f t="shared" ref="X116:X122" si="32">F116+W116</f>
        <v>47554</v>
      </c>
      <c r="Y116" s="186">
        <f>X116*8</f>
        <v>380432</v>
      </c>
    </row>
    <row r="117" spans="1:29" ht="16.5" customHeight="1" x14ac:dyDescent="0.25">
      <c r="A117" s="163">
        <v>2</v>
      </c>
      <c r="B117" s="164" t="s">
        <v>110</v>
      </c>
      <c r="C117" s="166">
        <v>1</v>
      </c>
      <c r="D117" s="166">
        <v>10</v>
      </c>
      <c r="E117" s="137">
        <v>2157</v>
      </c>
      <c r="F117" s="138">
        <f t="shared" si="30"/>
        <v>2157</v>
      </c>
      <c r="G117" s="138"/>
      <c r="H117" s="139"/>
      <c r="I117" s="13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139">
        <f t="shared" si="31"/>
        <v>0</v>
      </c>
      <c r="X117" s="138">
        <f t="shared" si="32"/>
        <v>2157</v>
      </c>
      <c r="Y117" s="186">
        <f t="shared" ref="Y117:Y125" si="33">X117*8</f>
        <v>17256</v>
      </c>
    </row>
    <row r="118" spans="1:29" ht="16.5" customHeight="1" x14ac:dyDescent="0.25">
      <c r="A118" s="163">
        <v>3</v>
      </c>
      <c r="B118" s="164" t="s">
        <v>99</v>
      </c>
      <c r="C118" s="166">
        <f>7.5+1</f>
        <v>8.5</v>
      </c>
      <c r="D118" s="166">
        <v>9</v>
      </c>
      <c r="E118" s="137">
        <v>2050</v>
      </c>
      <c r="F118" s="138">
        <f>E118*C118</f>
        <v>17425</v>
      </c>
      <c r="G118" s="138"/>
      <c r="H118" s="192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139">
        <f t="shared" si="31"/>
        <v>0</v>
      </c>
      <c r="X118" s="138">
        <f t="shared" si="32"/>
        <v>17425</v>
      </c>
      <c r="Y118" s="186">
        <f t="shared" si="33"/>
        <v>139400</v>
      </c>
    </row>
    <row r="119" spans="1:29" ht="18.75" customHeight="1" x14ac:dyDescent="0.25">
      <c r="A119" s="163">
        <v>4</v>
      </c>
      <c r="B119" s="164" t="s">
        <v>138</v>
      </c>
      <c r="C119" s="166">
        <f>12-1+1+1</f>
        <v>13</v>
      </c>
      <c r="D119" s="166">
        <v>9</v>
      </c>
      <c r="E119" s="137">
        <v>2050</v>
      </c>
      <c r="F119" s="138">
        <f t="shared" si="30"/>
        <v>26650</v>
      </c>
      <c r="G119" s="138"/>
      <c r="H119" s="139"/>
      <c r="I119" s="13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139">
        <f t="shared" si="31"/>
        <v>0</v>
      </c>
      <c r="X119" s="138">
        <f t="shared" si="32"/>
        <v>26650</v>
      </c>
      <c r="Y119" s="186">
        <f t="shared" si="33"/>
        <v>213200</v>
      </c>
    </row>
    <row r="120" spans="1:29" ht="18" customHeight="1" x14ac:dyDescent="0.25">
      <c r="A120" s="163">
        <v>5</v>
      </c>
      <c r="B120" s="164" t="s">
        <v>141</v>
      </c>
      <c r="C120" s="166">
        <f>4.5+0.5</f>
        <v>5</v>
      </c>
      <c r="D120" s="166">
        <v>7</v>
      </c>
      <c r="E120" s="137">
        <v>1825</v>
      </c>
      <c r="F120" s="138">
        <f t="shared" si="30"/>
        <v>9125</v>
      </c>
      <c r="G120" s="138"/>
      <c r="H120" s="139"/>
      <c r="I120" s="13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139">
        <f t="shared" si="31"/>
        <v>0</v>
      </c>
      <c r="X120" s="138">
        <f t="shared" si="32"/>
        <v>9125</v>
      </c>
      <c r="Y120" s="186">
        <f t="shared" si="33"/>
        <v>73000</v>
      </c>
    </row>
    <row r="121" spans="1:29" ht="18" customHeight="1" x14ac:dyDescent="0.25">
      <c r="A121" s="163">
        <v>6</v>
      </c>
      <c r="B121" s="164" t="s">
        <v>101</v>
      </c>
      <c r="C121" s="166">
        <v>1</v>
      </c>
      <c r="D121" s="166">
        <v>7</v>
      </c>
      <c r="E121" s="137">
        <v>1825</v>
      </c>
      <c r="F121" s="138">
        <f>E121*C121</f>
        <v>1825</v>
      </c>
      <c r="G121" s="138"/>
      <c r="H121" s="139"/>
      <c r="I121" s="13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139">
        <f t="shared" si="31"/>
        <v>0</v>
      </c>
      <c r="X121" s="138">
        <f t="shared" si="32"/>
        <v>1825</v>
      </c>
      <c r="Y121" s="186">
        <f t="shared" si="33"/>
        <v>14600</v>
      </c>
    </row>
    <row r="122" spans="1:29" ht="17.25" customHeight="1" x14ac:dyDescent="0.25">
      <c r="A122" s="163">
        <v>7</v>
      </c>
      <c r="B122" s="164" t="s">
        <v>142</v>
      </c>
      <c r="C122" s="166">
        <f>14-1-1</f>
        <v>12</v>
      </c>
      <c r="D122" s="166">
        <v>5</v>
      </c>
      <c r="E122" s="137">
        <v>1612</v>
      </c>
      <c r="F122" s="138">
        <f t="shared" si="30"/>
        <v>19344</v>
      </c>
      <c r="G122" s="138"/>
      <c r="H122" s="139"/>
      <c r="I122" s="13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139">
        <f t="shared" si="31"/>
        <v>0</v>
      </c>
      <c r="X122" s="138">
        <f t="shared" si="32"/>
        <v>19344</v>
      </c>
      <c r="Y122" s="186">
        <f t="shared" si="33"/>
        <v>154752</v>
      </c>
    </row>
    <row r="123" spans="1:29" ht="17.25" customHeight="1" x14ac:dyDescent="0.25">
      <c r="A123" s="163">
        <v>8</v>
      </c>
      <c r="B123" s="164" t="s">
        <v>143</v>
      </c>
      <c r="C123" s="163">
        <v>3</v>
      </c>
      <c r="D123" s="163">
        <v>7</v>
      </c>
      <c r="E123" s="134">
        <v>1825</v>
      </c>
      <c r="F123" s="183">
        <f>E123*C123</f>
        <v>5475</v>
      </c>
      <c r="G123" s="183"/>
      <c r="H123" s="183"/>
      <c r="I123" s="59">
        <f>ROUNDUP(F123*20%,0)</f>
        <v>1095</v>
      </c>
      <c r="J123" s="59"/>
      <c r="K123" s="59"/>
      <c r="L123" s="59"/>
      <c r="M123" s="59"/>
      <c r="N123" s="59">
        <f>ROUNDUP(F123*30%,0)</f>
        <v>1643</v>
      </c>
      <c r="O123" s="59"/>
      <c r="P123" s="59"/>
      <c r="Q123" s="59"/>
      <c r="R123" s="59"/>
      <c r="S123" s="59"/>
      <c r="T123" s="59"/>
      <c r="U123" s="59"/>
      <c r="V123" s="59"/>
      <c r="W123" s="59">
        <f t="shared" si="31"/>
        <v>2738</v>
      </c>
      <c r="X123" s="138">
        <f>C123*E123+W123</f>
        <v>8213</v>
      </c>
      <c r="Y123" s="186">
        <f t="shared" si="33"/>
        <v>65704</v>
      </c>
    </row>
    <row r="124" spans="1:29" ht="15.75" customHeight="1" x14ac:dyDescent="0.25">
      <c r="A124" s="163">
        <v>9</v>
      </c>
      <c r="B124" s="164" t="s">
        <v>126</v>
      </c>
      <c r="C124" s="166">
        <v>3</v>
      </c>
      <c r="D124" s="166">
        <v>5</v>
      </c>
      <c r="E124" s="137">
        <v>1612</v>
      </c>
      <c r="F124" s="138">
        <f t="shared" si="30"/>
        <v>4836</v>
      </c>
      <c r="G124" s="138"/>
      <c r="H124" s="139"/>
      <c r="I124" s="13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139">
        <f t="shared" si="31"/>
        <v>0</v>
      </c>
      <c r="X124" s="138">
        <f>F124+W124</f>
        <v>4836</v>
      </c>
      <c r="Y124" s="186">
        <f t="shared" si="33"/>
        <v>38688</v>
      </c>
    </row>
    <row r="125" spans="1:29" ht="15.75" customHeight="1" x14ac:dyDescent="0.25">
      <c r="A125" s="163">
        <v>10</v>
      </c>
      <c r="B125" s="164" t="s">
        <v>102</v>
      </c>
      <c r="C125" s="163">
        <v>0.5</v>
      </c>
      <c r="D125" s="163">
        <v>7</v>
      </c>
      <c r="E125" s="134">
        <v>1825</v>
      </c>
      <c r="F125" s="183">
        <f>E125*C125</f>
        <v>912.5</v>
      </c>
      <c r="G125" s="183"/>
      <c r="H125" s="139"/>
      <c r="I125" s="13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139">
        <f t="shared" si="31"/>
        <v>0</v>
      </c>
      <c r="X125" s="138">
        <f>F125+W125</f>
        <v>912.5</v>
      </c>
      <c r="Y125" s="186">
        <f t="shared" si="33"/>
        <v>7300</v>
      </c>
    </row>
    <row r="126" spans="1:29" ht="21" customHeight="1" x14ac:dyDescent="0.25">
      <c r="A126" s="187"/>
      <c r="B126" s="164"/>
      <c r="C126" s="144">
        <f>SUM(C116:C125)</f>
        <v>76.5</v>
      </c>
      <c r="D126" s="144"/>
      <c r="E126" s="144"/>
      <c r="F126" s="190">
        <f t="shared" ref="F126:Y126" si="34">SUM(F116:F125)</f>
        <v>135303.5</v>
      </c>
      <c r="G126" s="190"/>
      <c r="H126" s="198">
        <f t="shared" si="34"/>
        <v>0</v>
      </c>
      <c r="I126" s="198">
        <f t="shared" si="34"/>
        <v>1095</v>
      </c>
      <c r="J126" s="198">
        <f t="shared" si="34"/>
        <v>0</v>
      </c>
      <c r="K126" s="198">
        <f t="shared" si="34"/>
        <v>0</v>
      </c>
      <c r="L126" s="198">
        <f t="shared" si="34"/>
        <v>0</v>
      </c>
      <c r="M126" s="198">
        <f t="shared" si="34"/>
        <v>0</v>
      </c>
      <c r="N126" s="198">
        <f t="shared" si="34"/>
        <v>1643</v>
      </c>
      <c r="O126" s="198">
        <f t="shared" si="34"/>
        <v>0</v>
      </c>
      <c r="P126" s="198">
        <f t="shared" si="34"/>
        <v>0</v>
      </c>
      <c r="Q126" s="198">
        <f t="shared" si="34"/>
        <v>0</v>
      </c>
      <c r="R126" s="198">
        <f t="shared" si="34"/>
        <v>0</v>
      </c>
      <c r="S126" s="198">
        <f t="shared" si="34"/>
        <v>0</v>
      </c>
      <c r="T126" s="198">
        <f t="shared" si="34"/>
        <v>0</v>
      </c>
      <c r="U126" s="198">
        <f t="shared" si="34"/>
        <v>0</v>
      </c>
      <c r="V126" s="198">
        <f t="shared" si="34"/>
        <v>0</v>
      </c>
      <c r="W126" s="198">
        <f t="shared" si="34"/>
        <v>2738</v>
      </c>
      <c r="X126" s="190">
        <f t="shared" si="34"/>
        <v>138041.5</v>
      </c>
      <c r="Y126" s="190">
        <f t="shared" si="34"/>
        <v>1104332</v>
      </c>
      <c r="Z126" s="190">
        <f>SUM(Z116:Z125)</f>
        <v>0</v>
      </c>
      <c r="AA126" s="190">
        <f>SUM(AA116:AA125)</f>
        <v>0</v>
      </c>
      <c r="AB126" s="190">
        <f>SUM(AB116:AB125)</f>
        <v>0</v>
      </c>
      <c r="AC126" s="190">
        <f>SUM(AC116:AC125)</f>
        <v>0</v>
      </c>
    </row>
    <row r="127" spans="1:29" ht="18" customHeight="1" x14ac:dyDescent="0.25">
      <c r="A127" s="174" t="s">
        <v>144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6"/>
      <c r="Y127" s="163"/>
    </row>
    <row r="128" spans="1:29" ht="21" customHeight="1" x14ac:dyDescent="0.25">
      <c r="A128" s="163">
        <v>1</v>
      </c>
      <c r="B128" s="164" t="s">
        <v>118</v>
      </c>
      <c r="C128" s="166">
        <v>1</v>
      </c>
      <c r="D128" s="166">
        <v>12</v>
      </c>
      <c r="E128" s="137">
        <v>2512</v>
      </c>
      <c r="F128" s="138">
        <f>E128*C128</f>
        <v>2512</v>
      </c>
      <c r="G128" s="138"/>
      <c r="H128" s="139"/>
      <c r="I128" s="139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39">
        <f>SUM(H128:V128)</f>
        <v>0</v>
      </c>
      <c r="X128" s="138">
        <f>F128+W128</f>
        <v>2512</v>
      </c>
      <c r="Y128" s="186">
        <f>X128*8</f>
        <v>20096</v>
      </c>
    </row>
    <row r="129" spans="1:25" ht="21" customHeight="1" x14ac:dyDescent="0.25">
      <c r="A129" s="163">
        <v>2</v>
      </c>
      <c r="B129" s="135" t="s">
        <v>136</v>
      </c>
      <c r="C129" s="163">
        <v>1</v>
      </c>
      <c r="D129" s="163"/>
      <c r="E129" s="163">
        <v>2386</v>
      </c>
      <c r="F129" s="186">
        <f>E129*C129</f>
        <v>2386</v>
      </c>
      <c r="G129" s="186"/>
      <c r="H129" s="139"/>
      <c r="I129" s="139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39">
        <f>SUM(H129:V129)</f>
        <v>0</v>
      </c>
      <c r="X129" s="138">
        <f>F129+W129</f>
        <v>2386</v>
      </c>
      <c r="Y129" s="186">
        <f>X129*8</f>
        <v>19088</v>
      </c>
    </row>
    <row r="130" spans="1:25" ht="21" customHeight="1" x14ac:dyDescent="0.25">
      <c r="A130" s="163">
        <v>3</v>
      </c>
      <c r="B130" s="164" t="s">
        <v>108</v>
      </c>
      <c r="C130" s="166">
        <v>3</v>
      </c>
      <c r="D130" s="166">
        <v>9</v>
      </c>
      <c r="E130" s="137">
        <v>2050</v>
      </c>
      <c r="F130" s="138">
        <f>E130*C130</f>
        <v>6150</v>
      </c>
      <c r="G130" s="138"/>
      <c r="H130" s="139"/>
      <c r="I130" s="139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39">
        <f>SUM(H130:V130)</f>
        <v>0</v>
      </c>
      <c r="X130" s="138">
        <f>F130+W130</f>
        <v>6150</v>
      </c>
      <c r="Y130" s="186">
        <f>X130*8</f>
        <v>49200</v>
      </c>
    </row>
    <row r="131" spans="1:25" ht="21" customHeight="1" x14ac:dyDescent="0.25">
      <c r="A131" s="163">
        <v>4</v>
      </c>
      <c r="B131" s="164" t="s">
        <v>124</v>
      </c>
      <c r="C131" s="166">
        <f>12+2.25+1.25-0.5</f>
        <v>15</v>
      </c>
      <c r="D131" s="166">
        <v>6</v>
      </c>
      <c r="E131" s="137">
        <v>1718</v>
      </c>
      <c r="F131" s="138">
        <f>E131*C131</f>
        <v>25770</v>
      </c>
      <c r="G131" s="138"/>
      <c r="H131" s="139"/>
      <c r="I131" s="139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39">
        <f>SUM(H131:V131)</f>
        <v>0</v>
      </c>
      <c r="X131" s="138">
        <f>F131+W131</f>
        <v>25770</v>
      </c>
      <c r="Y131" s="186">
        <f>X131*8</f>
        <v>206160</v>
      </c>
    </row>
    <row r="132" spans="1:25" ht="24.9" customHeight="1" x14ac:dyDescent="0.25">
      <c r="A132" s="134">
        <v>5</v>
      </c>
      <c r="B132" s="202" t="s">
        <v>126</v>
      </c>
      <c r="C132" s="134">
        <v>0.5</v>
      </c>
      <c r="D132" s="134">
        <v>5</v>
      </c>
      <c r="E132" s="163">
        <v>1612</v>
      </c>
      <c r="F132" s="186">
        <f>E132*C132</f>
        <v>806</v>
      </c>
      <c r="G132" s="186"/>
      <c r="H132" s="163"/>
      <c r="I132" s="163"/>
      <c r="J132" s="134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134">
        <f>SUM(H132:V132)</f>
        <v>0</v>
      </c>
      <c r="X132" s="183">
        <f>C132*E132+W132</f>
        <v>806</v>
      </c>
      <c r="Y132" s="186">
        <f>X132*8</f>
        <v>6448</v>
      </c>
    </row>
    <row r="133" spans="1:25" ht="15.75" customHeight="1" x14ac:dyDescent="0.25">
      <c r="A133" s="163"/>
      <c r="B133" s="164"/>
      <c r="C133" s="189">
        <f>SUM(C128:C132)</f>
        <v>20.5</v>
      </c>
      <c r="D133" s="189"/>
      <c r="E133" s="189"/>
      <c r="F133" s="190">
        <f>SUM(F128:F132)</f>
        <v>37624</v>
      </c>
      <c r="G133" s="190"/>
      <c r="H133" s="190">
        <f t="shared" ref="H133:Y133" si="35">SUM(H128:H132)</f>
        <v>0</v>
      </c>
      <c r="I133" s="190">
        <f t="shared" si="35"/>
        <v>0</v>
      </c>
      <c r="J133" s="190">
        <f t="shared" si="35"/>
        <v>0</v>
      </c>
      <c r="K133" s="190">
        <f t="shared" si="35"/>
        <v>0</v>
      </c>
      <c r="L133" s="190">
        <f t="shared" si="35"/>
        <v>0</v>
      </c>
      <c r="M133" s="190">
        <f t="shared" si="35"/>
        <v>0</v>
      </c>
      <c r="N133" s="190">
        <f t="shared" si="35"/>
        <v>0</v>
      </c>
      <c r="O133" s="190">
        <f t="shared" si="35"/>
        <v>0</v>
      </c>
      <c r="P133" s="190">
        <f t="shared" si="35"/>
        <v>0</v>
      </c>
      <c r="Q133" s="190">
        <f t="shared" si="35"/>
        <v>0</v>
      </c>
      <c r="R133" s="190">
        <f t="shared" si="35"/>
        <v>0</v>
      </c>
      <c r="S133" s="190">
        <f t="shared" si="35"/>
        <v>0</v>
      </c>
      <c r="T133" s="190">
        <f t="shared" si="35"/>
        <v>0</v>
      </c>
      <c r="U133" s="190">
        <f t="shared" si="35"/>
        <v>0</v>
      </c>
      <c r="V133" s="190">
        <f t="shared" si="35"/>
        <v>0</v>
      </c>
      <c r="W133" s="190">
        <f t="shared" si="35"/>
        <v>0</v>
      </c>
      <c r="X133" s="190">
        <f t="shared" si="35"/>
        <v>37624</v>
      </c>
      <c r="Y133" s="190">
        <f t="shared" si="35"/>
        <v>300992</v>
      </c>
    </row>
    <row r="134" spans="1:25" ht="17.25" customHeight="1" x14ac:dyDescent="0.25">
      <c r="A134" s="174" t="s">
        <v>145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6"/>
      <c r="Y134" s="163"/>
    </row>
    <row r="135" spans="1:25" ht="26.25" customHeight="1" x14ac:dyDescent="0.25">
      <c r="A135" s="163">
        <v>1</v>
      </c>
      <c r="B135" s="203" t="s">
        <v>118</v>
      </c>
      <c r="C135" s="166">
        <v>1</v>
      </c>
      <c r="D135" s="204">
        <v>10</v>
      </c>
      <c r="E135" s="137">
        <v>2157</v>
      </c>
      <c r="F135" s="138">
        <f t="shared" ref="F135:F141" si="36">E135*C135</f>
        <v>2157</v>
      </c>
      <c r="G135" s="138"/>
      <c r="H135" s="139"/>
      <c r="I135" s="139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39">
        <f t="shared" ref="W135:W142" si="37">SUM(H135:V135)</f>
        <v>0</v>
      </c>
      <c r="X135" s="138">
        <f t="shared" ref="X135:X141" si="38">F135+W135</f>
        <v>2157</v>
      </c>
      <c r="Y135" s="186">
        <f>X135*8</f>
        <v>17256</v>
      </c>
    </row>
    <row r="136" spans="1:25" ht="21.75" customHeight="1" x14ac:dyDescent="0.25">
      <c r="A136" s="163">
        <v>2</v>
      </c>
      <c r="B136" s="199" t="s">
        <v>136</v>
      </c>
      <c r="C136" s="166">
        <v>1</v>
      </c>
      <c r="D136" s="204"/>
      <c r="E136" s="137">
        <v>2049</v>
      </c>
      <c r="F136" s="138">
        <f t="shared" si="36"/>
        <v>2049</v>
      </c>
      <c r="G136" s="138"/>
      <c r="H136" s="139"/>
      <c r="I136" s="139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39">
        <f t="shared" si="37"/>
        <v>0</v>
      </c>
      <c r="X136" s="138">
        <f t="shared" si="38"/>
        <v>2049</v>
      </c>
      <c r="Y136" s="186">
        <f t="shared" ref="Y136:Y141" si="39">X136*8</f>
        <v>16392</v>
      </c>
    </row>
    <row r="137" spans="1:25" ht="17.100000000000001" customHeight="1" x14ac:dyDescent="0.25">
      <c r="A137" s="163">
        <v>3</v>
      </c>
      <c r="B137" s="164" t="s">
        <v>124</v>
      </c>
      <c r="C137" s="166">
        <f>4+1</f>
        <v>5</v>
      </c>
      <c r="D137" s="166">
        <v>6</v>
      </c>
      <c r="E137" s="137">
        <v>1718</v>
      </c>
      <c r="F137" s="138">
        <f t="shared" si="36"/>
        <v>8590</v>
      </c>
      <c r="G137" s="138"/>
      <c r="H137" s="139"/>
      <c r="I137" s="139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39">
        <f t="shared" si="37"/>
        <v>0</v>
      </c>
      <c r="X137" s="138">
        <f t="shared" si="38"/>
        <v>8590</v>
      </c>
      <c r="Y137" s="186">
        <f t="shared" si="39"/>
        <v>68720</v>
      </c>
    </row>
    <row r="138" spans="1:25" ht="17.100000000000001" customHeight="1" x14ac:dyDescent="0.25">
      <c r="A138" s="163">
        <v>4</v>
      </c>
      <c r="B138" s="164" t="s">
        <v>126</v>
      </c>
      <c r="C138" s="166">
        <v>3</v>
      </c>
      <c r="D138" s="166">
        <v>5</v>
      </c>
      <c r="E138" s="137">
        <v>1612</v>
      </c>
      <c r="F138" s="138">
        <f t="shared" si="36"/>
        <v>4836</v>
      </c>
      <c r="G138" s="138"/>
      <c r="H138" s="139"/>
      <c r="I138" s="139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39">
        <f t="shared" si="37"/>
        <v>0</v>
      </c>
      <c r="X138" s="138">
        <f t="shared" si="38"/>
        <v>4836</v>
      </c>
      <c r="Y138" s="186">
        <f t="shared" si="39"/>
        <v>38688</v>
      </c>
    </row>
    <row r="139" spans="1:25" ht="17.100000000000001" customHeight="1" x14ac:dyDescent="0.25">
      <c r="A139" s="163">
        <v>5</v>
      </c>
      <c r="B139" s="164" t="s">
        <v>108</v>
      </c>
      <c r="C139" s="166">
        <v>1</v>
      </c>
      <c r="D139" s="166">
        <v>9</v>
      </c>
      <c r="E139" s="137">
        <v>2050</v>
      </c>
      <c r="F139" s="138">
        <f t="shared" si="36"/>
        <v>2050</v>
      </c>
      <c r="G139" s="138"/>
      <c r="H139" s="139"/>
      <c r="I139" s="139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39">
        <f t="shared" si="37"/>
        <v>0</v>
      </c>
      <c r="X139" s="138">
        <f t="shared" si="38"/>
        <v>2050</v>
      </c>
      <c r="Y139" s="186">
        <f t="shared" si="39"/>
        <v>16400</v>
      </c>
    </row>
    <row r="140" spans="1:25" ht="17.100000000000001" customHeight="1" x14ac:dyDescent="0.25">
      <c r="A140" s="163">
        <v>6</v>
      </c>
      <c r="B140" s="164" t="s">
        <v>146</v>
      </c>
      <c r="C140" s="166">
        <v>1</v>
      </c>
      <c r="D140" s="166">
        <v>5</v>
      </c>
      <c r="E140" s="137">
        <v>1612</v>
      </c>
      <c r="F140" s="138">
        <f t="shared" si="36"/>
        <v>1612</v>
      </c>
      <c r="G140" s="138"/>
      <c r="H140" s="139"/>
      <c r="I140" s="139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39">
        <f t="shared" si="37"/>
        <v>0</v>
      </c>
      <c r="X140" s="138">
        <f t="shared" si="38"/>
        <v>1612</v>
      </c>
      <c r="Y140" s="186">
        <f t="shared" si="39"/>
        <v>12896</v>
      </c>
    </row>
    <row r="141" spans="1:25" ht="17.100000000000001" customHeight="1" x14ac:dyDescent="0.25">
      <c r="A141" s="163">
        <v>7</v>
      </c>
      <c r="B141" s="164" t="s">
        <v>112</v>
      </c>
      <c r="C141" s="166">
        <v>1.5</v>
      </c>
      <c r="D141" s="166">
        <v>4</v>
      </c>
      <c r="E141" s="137">
        <v>1543</v>
      </c>
      <c r="F141" s="138">
        <f t="shared" si="36"/>
        <v>2314.5</v>
      </c>
      <c r="G141" s="138"/>
      <c r="H141" s="139"/>
      <c r="I141" s="139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39">
        <f t="shared" si="37"/>
        <v>0</v>
      </c>
      <c r="X141" s="138">
        <f t="shared" si="38"/>
        <v>2314.5</v>
      </c>
      <c r="Y141" s="186">
        <f t="shared" si="39"/>
        <v>18516</v>
      </c>
    </row>
    <row r="142" spans="1:25" ht="17.100000000000001" customHeight="1" x14ac:dyDescent="0.25">
      <c r="A142" s="163"/>
      <c r="B142" s="164"/>
      <c r="C142" s="189">
        <f>SUM(C135:C141)</f>
        <v>13.5</v>
      </c>
      <c r="D142" s="163"/>
      <c r="E142" s="189"/>
      <c r="F142" s="171">
        <f>SUM(F135:F141)</f>
        <v>23608.5</v>
      </c>
      <c r="G142" s="171"/>
      <c r="H142" s="186">
        <f t="shared" ref="H142:V142" si="40">SUM(H135:H141)</f>
        <v>0</v>
      </c>
      <c r="I142" s="186">
        <f t="shared" si="40"/>
        <v>0</v>
      </c>
      <c r="J142" s="186">
        <f t="shared" si="40"/>
        <v>0</v>
      </c>
      <c r="K142" s="186">
        <f t="shared" si="40"/>
        <v>0</v>
      </c>
      <c r="L142" s="186">
        <f t="shared" si="40"/>
        <v>0</v>
      </c>
      <c r="M142" s="186">
        <f t="shared" si="40"/>
        <v>0</v>
      </c>
      <c r="N142" s="186">
        <f t="shared" si="40"/>
        <v>0</v>
      </c>
      <c r="O142" s="186">
        <f t="shared" si="40"/>
        <v>0</v>
      </c>
      <c r="P142" s="186">
        <f t="shared" si="40"/>
        <v>0</v>
      </c>
      <c r="Q142" s="186">
        <f t="shared" si="40"/>
        <v>0</v>
      </c>
      <c r="R142" s="186">
        <f t="shared" si="40"/>
        <v>0</v>
      </c>
      <c r="S142" s="186">
        <f t="shared" si="40"/>
        <v>0</v>
      </c>
      <c r="T142" s="186">
        <f t="shared" si="40"/>
        <v>0</v>
      </c>
      <c r="U142" s="186">
        <f t="shared" si="40"/>
        <v>0</v>
      </c>
      <c r="V142" s="186">
        <f t="shared" si="40"/>
        <v>0</v>
      </c>
      <c r="W142" s="139">
        <f t="shared" si="37"/>
        <v>0</v>
      </c>
      <c r="X142" s="190">
        <f>SUM(X135:X141)</f>
        <v>23608.5</v>
      </c>
      <c r="Y142" s="190">
        <f>SUM(Y135:Y141)</f>
        <v>188868</v>
      </c>
    </row>
    <row r="143" spans="1:25" ht="17.100000000000001" customHeight="1" x14ac:dyDescent="0.25">
      <c r="A143" s="174" t="s">
        <v>147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6"/>
      <c r="Y143" s="163"/>
    </row>
    <row r="144" spans="1:25" ht="23.25" customHeight="1" x14ac:dyDescent="0.25">
      <c r="A144" s="163">
        <v>1</v>
      </c>
      <c r="B144" s="164" t="s">
        <v>118</v>
      </c>
      <c r="C144" s="166">
        <v>1</v>
      </c>
      <c r="D144" s="166">
        <v>10</v>
      </c>
      <c r="E144" s="137">
        <v>2157</v>
      </c>
      <c r="F144" s="138">
        <f>E144*C144</f>
        <v>2157</v>
      </c>
      <c r="G144" s="138"/>
      <c r="H144" s="139"/>
      <c r="I144" s="13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139">
        <f>SUM(H144:V144)</f>
        <v>0</v>
      </c>
      <c r="X144" s="138">
        <f>C144*E144+W144</f>
        <v>2157</v>
      </c>
      <c r="Y144" s="186">
        <f>X144*8</f>
        <v>17256</v>
      </c>
    </row>
    <row r="145" spans="1:25" ht="24" customHeight="1" x14ac:dyDescent="0.25">
      <c r="A145" s="163">
        <v>2</v>
      </c>
      <c r="B145" s="164" t="s">
        <v>148</v>
      </c>
      <c r="C145" s="166">
        <f>1+1</f>
        <v>2</v>
      </c>
      <c r="D145" s="166">
        <v>5</v>
      </c>
      <c r="E145" s="137">
        <v>1612</v>
      </c>
      <c r="F145" s="138">
        <f>E145*C145</f>
        <v>3224</v>
      </c>
      <c r="G145" s="138"/>
      <c r="H145" s="139"/>
      <c r="I145" s="13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139">
        <f>SUM(H145:V145)</f>
        <v>0</v>
      </c>
      <c r="X145" s="138">
        <f>C145*E145+W145</f>
        <v>3224</v>
      </c>
      <c r="Y145" s="186">
        <f>X145*8</f>
        <v>25792</v>
      </c>
    </row>
    <row r="146" spans="1:25" ht="24.75" customHeight="1" x14ac:dyDescent="0.25">
      <c r="A146" s="163">
        <v>3</v>
      </c>
      <c r="B146" s="164" t="s">
        <v>112</v>
      </c>
      <c r="C146" s="166">
        <v>2</v>
      </c>
      <c r="D146" s="166">
        <v>4</v>
      </c>
      <c r="E146" s="137">
        <v>1543</v>
      </c>
      <c r="F146" s="138">
        <f>E146*C146</f>
        <v>3086</v>
      </c>
      <c r="G146" s="138"/>
      <c r="H146" s="139"/>
      <c r="I146" s="13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139">
        <f>SUM(H146:V146)</f>
        <v>0</v>
      </c>
      <c r="X146" s="138">
        <f>C146*E146+W146</f>
        <v>3086</v>
      </c>
      <c r="Y146" s="186">
        <f>X146*8</f>
        <v>24688</v>
      </c>
    </row>
    <row r="147" spans="1:25" ht="24" customHeight="1" x14ac:dyDescent="0.25">
      <c r="A147" s="163"/>
      <c r="B147" s="164"/>
      <c r="C147" s="189">
        <f>SUM(C144:C146)</f>
        <v>5</v>
      </c>
      <c r="D147" s="189"/>
      <c r="E147" s="189"/>
      <c r="F147" s="190">
        <f>SUM(F144:F146)</f>
        <v>8467</v>
      </c>
      <c r="G147" s="190"/>
      <c r="H147" s="189">
        <f t="shared" ref="H147:V147" si="41">SUM(H144:H146)</f>
        <v>0</v>
      </c>
      <c r="I147" s="189">
        <f t="shared" si="41"/>
        <v>0</v>
      </c>
      <c r="J147" s="189">
        <f t="shared" si="41"/>
        <v>0</v>
      </c>
      <c r="K147" s="189">
        <f t="shared" si="41"/>
        <v>0</v>
      </c>
      <c r="L147" s="189">
        <f t="shared" si="41"/>
        <v>0</v>
      </c>
      <c r="M147" s="189">
        <f t="shared" si="41"/>
        <v>0</v>
      </c>
      <c r="N147" s="189">
        <f t="shared" si="41"/>
        <v>0</v>
      </c>
      <c r="O147" s="189">
        <f t="shared" si="41"/>
        <v>0</v>
      </c>
      <c r="P147" s="189">
        <f t="shared" si="41"/>
        <v>0</v>
      </c>
      <c r="Q147" s="189">
        <f t="shared" si="41"/>
        <v>0</v>
      </c>
      <c r="R147" s="189">
        <f t="shared" si="41"/>
        <v>0</v>
      </c>
      <c r="S147" s="189">
        <f t="shared" si="41"/>
        <v>0</v>
      </c>
      <c r="T147" s="189">
        <f t="shared" si="41"/>
        <v>0</v>
      </c>
      <c r="U147" s="189">
        <f t="shared" si="41"/>
        <v>0</v>
      </c>
      <c r="V147" s="189">
        <f t="shared" si="41"/>
        <v>0</v>
      </c>
      <c r="W147" s="139">
        <f>SUM(H147:V147)</f>
        <v>0</v>
      </c>
      <c r="X147" s="143">
        <f>SUM(X144:X146)</f>
        <v>8467</v>
      </c>
      <c r="Y147" s="143">
        <f>SUM(Y144:Y146)</f>
        <v>67736</v>
      </c>
    </row>
    <row r="148" spans="1:25" ht="17.100000000000001" customHeight="1" x14ac:dyDescent="0.25">
      <c r="A148" s="174" t="s">
        <v>149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6"/>
      <c r="Y148" s="163"/>
    </row>
    <row r="149" spans="1:25" ht="18.899999999999999" customHeight="1" x14ac:dyDescent="0.25">
      <c r="A149" s="163">
        <v>1</v>
      </c>
      <c r="B149" s="164" t="s">
        <v>118</v>
      </c>
      <c r="C149" s="166">
        <v>1</v>
      </c>
      <c r="D149" s="166">
        <v>13</v>
      </c>
      <c r="E149" s="137">
        <v>2690</v>
      </c>
      <c r="F149" s="138">
        <f>E149*C149</f>
        <v>2690</v>
      </c>
      <c r="G149" s="138"/>
      <c r="H149" s="139"/>
      <c r="I149" s="13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139">
        <f>SUM(H149:V149)</f>
        <v>0</v>
      </c>
      <c r="X149" s="138">
        <f>C149*E149+W149</f>
        <v>2690</v>
      </c>
      <c r="Y149" s="186">
        <f>X149*8</f>
        <v>21520</v>
      </c>
    </row>
    <row r="150" spans="1:25" ht="18.899999999999999" customHeight="1" x14ac:dyDescent="0.25">
      <c r="A150" s="163">
        <v>2</v>
      </c>
      <c r="B150" s="164" t="s">
        <v>123</v>
      </c>
      <c r="C150" s="166">
        <v>1</v>
      </c>
      <c r="D150" s="166"/>
      <c r="E150" s="137">
        <v>2556</v>
      </c>
      <c r="F150" s="138">
        <f>E150*C150</f>
        <v>2556</v>
      </c>
      <c r="G150" s="138"/>
      <c r="H150" s="139"/>
      <c r="I150" s="13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139">
        <f>SUM(H150:V150)</f>
        <v>0</v>
      </c>
      <c r="X150" s="138">
        <f>C150*E150+W150</f>
        <v>2556</v>
      </c>
      <c r="Y150" s="186">
        <f>X150*8</f>
        <v>20448</v>
      </c>
    </row>
    <row r="151" spans="1:25" ht="18.899999999999999" customHeight="1" x14ac:dyDescent="0.25">
      <c r="A151" s="163">
        <v>3</v>
      </c>
      <c r="B151" s="164" t="s">
        <v>150</v>
      </c>
      <c r="C151" s="166">
        <f>6+1</f>
        <v>7</v>
      </c>
      <c r="D151" s="166">
        <v>9</v>
      </c>
      <c r="E151" s="137">
        <v>2050</v>
      </c>
      <c r="F151" s="138">
        <f>E151*C151</f>
        <v>14350</v>
      </c>
      <c r="G151" s="138"/>
      <c r="H151" s="139"/>
      <c r="I151" s="13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139">
        <f>SUM(H151:V151)</f>
        <v>0</v>
      </c>
      <c r="X151" s="138">
        <f>C151*E151+W151</f>
        <v>14350</v>
      </c>
      <c r="Y151" s="186">
        <f>X151*8</f>
        <v>114800</v>
      </c>
    </row>
    <row r="152" spans="1:25" ht="18.899999999999999" customHeight="1" x14ac:dyDescent="0.25">
      <c r="A152" s="163">
        <v>4</v>
      </c>
      <c r="B152" s="164" t="s">
        <v>108</v>
      </c>
      <c r="C152" s="166">
        <v>1</v>
      </c>
      <c r="D152" s="166">
        <v>9</v>
      </c>
      <c r="E152" s="137">
        <v>2050</v>
      </c>
      <c r="F152" s="138">
        <f>E152*C152</f>
        <v>2050</v>
      </c>
      <c r="G152" s="138"/>
      <c r="H152" s="139"/>
      <c r="I152" s="13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139">
        <f>SUM(H152:V152)</f>
        <v>0</v>
      </c>
      <c r="X152" s="138">
        <f>C152*E152+W152</f>
        <v>2050</v>
      </c>
      <c r="Y152" s="186">
        <f>X152*8</f>
        <v>16400</v>
      </c>
    </row>
    <row r="153" spans="1:25" ht="18.899999999999999" customHeight="1" x14ac:dyDescent="0.25">
      <c r="A153" s="163"/>
      <c r="B153" s="164"/>
      <c r="C153" s="189">
        <f>SUM(C149:C152)</f>
        <v>10</v>
      </c>
      <c r="D153" s="189"/>
      <c r="E153" s="189"/>
      <c r="F153" s="190">
        <f>SUM(F149:F152)</f>
        <v>21646</v>
      </c>
      <c r="G153" s="190"/>
      <c r="H153" s="190">
        <f t="shared" ref="H153:V153" si="42">SUM(H149:H152)</f>
        <v>0</v>
      </c>
      <c r="I153" s="190">
        <f t="shared" si="42"/>
        <v>0</v>
      </c>
      <c r="J153" s="190">
        <f t="shared" si="42"/>
        <v>0</v>
      </c>
      <c r="K153" s="190">
        <f t="shared" si="42"/>
        <v>0</v>
      </c>
      <c r="L153" s="190">
        <f t="shared" si="42"/>
        <v>0</v>
      </c>
      <c r="M153" s="190">
        <f t="shared" si="42"/>
        <v>0</v>
      </c>
      <c r="N153" s="190">
        <f t="shared" si="42"/>
        <v>0</v>
      </c>
      <c r="O153" s="190">
        <f t="shared" si="42"/>
        <v>0</v>
      </c>
      <c r="P153" s="190">
        <f t="shared" si="42"/>
        <v>0</v>
      </c>
      <c r="Q153" s="190">
        <f t="shared" si="42"/>
        <v>0</v>
      </c>
      <c r="R153" s="190">
        <f t="shared" si="42"/>
        <v>0</v>
      </c>
      <c r="S153" s="190">
        <f t="shared" si="42"/>
        <v>0</v>
      </c>
      <c r="T153" s="190">
        <f t="shared" si="42"/>
        <v>0</v>
      </c>
      <c r="U153" s="190">
        <f t="shared" si="42"/>
        <v>0</v>
      </c>
      <c r="V153" s="190">
        <f t="shared" si="42"/>
        <v>0</v>
      </c>
      <c r="W153" s="139">
        <f>SUM(H153:V153)</f>
        <v>0</v>
      </c>
      <c r="X153" s="143">
        <f>SUM(X149:X152)</f>
        <v>21646</v>
      </c>
      <c r="Y153" s="143">
        <f>SUM(Y149:Y152)</f>
        <v>173168</v>
      </c>
    </row>
    <row r="154" spans="1:25" ht="18.899999999999999" customHeight="1" x14ac:dyDescent="0.25">
      <c r="A154" s="174" t="s">
        <v>151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6"/>
      <c r="Y154" s="163"/>
    </row>
    <row r="155" spans="1:25" ht="18.899999999999999" customHeight="1" x14ac:dyDescent="0.25">
      <c r="A155" s="163">
        <v>1</v>
      </c>
      <c r="B155" s="164" t="s">
        <v>152</v>
      </c>
      <c r="C155" s="166">
        <v>1</v>
      </c>
      <c r="D155" s="166"/>
      <c r="E155" s="137">
        <v>4650</v>
      </c>
      <c r="F155" s="138">
        <f t="shared" ref="F155:F163" si="43">E155*C155</f>
        <v>4650</v>
      </c>
      <c r="G155" s="138"/>
      <c r="H155" s="139"/>
      <c r="I155" s="13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139">
        <f t="shared" ref="W155:W164" si="44">SUM(H155:V155)</f>
        <v>0</v>
      </c>
      <c r="X155" s="138">
        <f t="shared" ref="X155:X163" si="45">C155*E155+W155</f>
        <v>4650</v>
      </c>
      <c r="Y155" s="186">
        <f>X155*8</f>
        <v>37200</v>
      </c>
    </row>
    <row r="156" spans="1:25" ht="18.899999999999999" customHeight="1" x14ac:dyDescent="0.25">
      <c r="A156" s="163">
        <v>2</v>
      </c>
      <c r="B156" s="164" t="s">
        <v>153</v>
      </c>
      <c r="C156" s="166">
        <v>3</v>
      </c>
      <c r="D156" s="166"/>
      <c r="E156" s="137">
        <v>3953</v>
      </c>
      <c r="F156" s="138">
        <f t="shared" si="43"/>
        <v>11859</v>
      </c>
      <c r="G156" s="138"/>
      <c r="H156" s="139"/>
      <c r="I156" s="13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139">
        <f t="shared" si="44"/>
        <v>0</v>
      </c>
      <c r="X156" s="138">
        <f t="shared" si="45"/>
        <v>11859</v>
      </c>
      <c r="Y156" s="186">
        <f t="shared" ref="Y156:Y163" si="46">X156*8</f>
        <v>94872</v>
      </c>
    </row>
    <row r="157" spans="1:25" ht="18.899999999999999" customHeight="1" x14ac:dyDescent="0.25">
      <c r="A157" s="163">
        <v>3</v>
      </c>
      <c r="B157" s="164" t="s">
        <v>154</v>
      </c>
      <c r="C157" s="166">
        <v>4</v>
      </c>
      <c r="D157" s="166">
        <v>10</v>
      </c>
      <c r="E157" s="137">
        <v>2157</v>
      </c>
      <c r="F157" s="138">
        <f t="shared" si="43"/>
        <v>8628</v>
      </c>
      <c r="G157" s="138"/>
      <c r="H157" s="139"/>
      <c r="I157" s="13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139">
        <f t="shared" si="44"/>
        <v>0</v>
      </c>
      <c r="X157" s="138">
        <f t="shared" si="45"/>
        <v>8628</v>
      </c>
      <c r="Y157" s="186">
        <f t="shared" si="46"/>
        <v>69024</v>
      </c>
    </row>
    <row r="158" spans="1:25" ht="18.899999999999999" customHeight="1" x14ac:dyDescent="0.25">
      <c r="A158" s="163">
        <v>4</v>
      </c>
      <c r="B158" s="164" t="s">
        <v>155</v>
      </c>
      <c r="C158" s="166">
        <f>33+2+1</f>
        <v>36</v>
      </c>
      <c r="D158" s="166">
        <v>9</v>
      </c>
      <c r="E158" s="137">
        <v>2050</v>
      </c>
      <c r="F158" s="138">
        <f t="shared" si="43"/>
        <v>73800</v>
      </c>
      <c r="G158" s="138"/>
      <c r="H158" s="139"/>
      <c r="I158" s="13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139">
        <f t="shared" si="44"/>
        <v>0</v>
      </c>
      <c r="X158" s="138">
        <f t="shared" si="45"/>
        <v>73800</v>
      </c>
      <c r="Y158" s="186">
        <f t="shared" si="46"/>
        <v>590400</v>
      </c>
    </row>
    <row r="159" spans="1:25" ht="18.899999999999999" customHeight="1" x14ac:dyDescent="0.25">
      <c r="A159" s="163">
        <v>5</v>
      </c>
      <c r="B159" s="164" t="s">
        <v>156</v>
      </c>
      <c r="C159" s="166">
        <v>4</v>
      </c>
      <c r="D159" s="166">
        <v>8</v>
      </c>
      <c r="E159" s="137">
        <v>1943</v>
      </c>
      <c r="F159" s="138">
        <f t="shared" si="43"/>
        <v>7772</v>
      </c>
      <c r="G159" s="138"/>
      <c r="H159" s="139"/>
      <c r="I159" s="13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139">
        <f t="shared" si="44"/>
        <v>0</v>
      </c>
      <c r="X159" s="138">
        <f t="shared" si="45"/>
        <v>7772</v>
      </c>
      <c r="Y159" s="186">
        <f t="shared" si="46"/>
        <v>62176</v>
      </c>
    </row>
    <row r="160" spans="1:25" ht="18.899999999999999" customHeight="1" x14ac:dyDescent="0.25">
      <c r="A160" s="163">
        <v>6</v>
      </c>
      <c r="B160" s="164" t="s">
        <v>157</v>
      </c>
      <c r="C160" s="166">
        <f>1+1.5</f>
        <v>2.5</v>
      </c>
      <c r="D160" s="166">
        <v>7</v>
      </c>
      <c r="E160" s="137">
        <v>1825</v>
      </c>
      <c r="F160" s="138">
        <f t="shared" si="43"/>
        <v>4562.5</v>
      </c>
      <c r="G160" s="138"/>
      <c r="H160" s="139"/>
      <c r="I160" s="13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139">
        <f t="shared" si="44"/>
        <v>0</v>
      </c>
      <c r="X160" s="138">
        <f t="shared" si="45"/>
        <v>4562.5</v>
      </c>
      <c r="Y160" s="186">
        <f t="shared" si="46"/>
        <v>36500</v>
      </c>
    </row>
    <row r="161" spans="1:25" ht="18.899999999999999" customHeight="1" x14ac:dyDescent="0.25">
      <c r="A161" s="163">
        <v>7</v>
      </c>
      <c r="B161" s="164" t="s">
        <v>158</v>
      </c>
      <c r="C161" s="166">
        <f>3-2</f>
        <v>1</v>
      </c>
      <c r="D161" s="166">
        <v>6</v>
      </c>
      <c r="E161" s="137">
        <v>1718</v>
      </c>
      <c r="F161" s="138">
        <f t="shared" si="43"/>
        <v>1718</v>
      </c>
      <c r="G161" s="138"/>
      <c r="H161" s="139"/>
      <c r="I161" s="13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139">
        <f t="shared" si="44"/>
        <v>0</v>
      </c>
      <c r="X161" s="138">
        <f t="shared" si="45"/>
        <v>1718</v>
      </c>
      <c r="Y161" s="186">
        <f t="shared" si="46"/>
        <v>13744</v>
      </c>
    </row>
    <row r="162" spans="1:25" ht="18.899999999999999" customHeight="1" x14ac:dyDescent="0.25">
      <c r="A162" s="163">
        <v>8</v>
      </c>
      <c r="B162" s="164" t="s">
        <v>159</v>
      </c>
      <c r="C162" s="166">
        <v>1</v>
      </c>
      <c r="D162" s="166">
        <v>10</v>
      </c>
      <c r="E162" s="137">
        <v>2157</v>
      </c>
      <c r="F162" s="138">
        <f t="shared" si="43"/>
        <v>2157</v>
      </c>
      <c r="G162" s="138"/>
      <c r="H162" s="139"/>
      <c r="I162" s="13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139">
        <f t="shared" si="44"/>
        <v>0</v>
      </c>
      <c r="X162" s="138">
        <f t="shared" si="45"/>
        <v>2157</v>
      </c>
      <c r="Y162" s="186">
        <f t="shared" si="46"/>
        <v>17256</v>
      </c>
    </row>
    <row r="163" spans="1:25" ht="18.899999999999999" customHeight="1" x14ac:dyDescent="0.25">
      <c r="A163" s="163">
        <v>9</v>
      </c>
      <c r="B163" s="164" t="s">
        <v>108</v>
      </c>
      <c r="C163" s="166">
        <v>3</v>
      </c>
      <c r="D163" s="166">
        <v>9</v>
      </c>
      <c r="E163" s="137">
        <v>2050</v>
      </c>
      <c r="F163" s="138">
        <f t="shared" si="43"/>
        <v>6150</v>
      </c>
      <c r="G163" s="138"/>
      <c r="H163" s="139"/>
      <c r="I163" s="13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139">
        <f t="shared" si="44"/>
        <v>0</v>
      </c>
      <c r="X163" s="138">
        <f t="shared" si="45"/>
        <v>6150</v>
      </c>
      <c r="Y163" s="186">
        <f t="shared" si="46"/>
        <v>49200</v>
      </c>
    </row>
    <row r="164" spans="1:25" ht="18.899999999999999" customHeight="1" x14ac:dyDescent="0.25">
      <c r="A164" s="163"/>
      <c r="B164" s="164"/>
      <c r="C164" s="189">
        <f>SUM(C155:C163)</f>
        <v>55.5</v>
      </c>
      <c r="D164" s="189"/>
      <c r="E164" s="189"/>
      <c r="F164" s="190">
        <f>SUM(F155:F163)</f>
        <v>121296.5</v>
      </c>
      <c r="G164" s="190"/>
      <c r="H164" s="189">
        <f t="shared" ref="H164:V164" si="47">SUM(H155:H163)</f>
        <v>0</v>
      </c>
      <c r="I164" s="189">
        <f t="shared" si="47"/>
        <v>0</v>
      </c>
      <c r="J164" s="189">
        <f t="shared" si="47"/>
        <v>0</v>
      </c>
      <c r="K164" s="189">
        <f t="shared" si="47"/>
        <v>0</v>
      </c>
      <c r="L164" s="189">
        <f t="shared" si="47"/>
        <v>0</v>
      </c>
      <c r="M164" s="189">
        <f t="shared" si="47"/>
        <v>0</v>
      </c>
      <c r="N164" s="189">
        <f t="shared" si="47"/>
        <v>0</v>
      </c>
      <c r="O164" s="189">
        <f t="shared" si="47"/>
        <v>0</v>
      </c>
      <c r="P164" s="189">
        <f t="shared" si="47"/>
        <v>0</v>
      </c>
      <c r="Q164" s="189">
        <f t="shared" si="47"/>
        <v>0</v>
      </c>
      <c r="R164" s="189">
        <f t="shared" si="47"/>
        <v>0</v>
      </c>
      <c r="S164" s="189">
        <f t="shared" si="47"/>
        <v>0</v>
      </c>
      <c r="T164" s="189">
        <f t="shared" si="47"/>
        <v>0</v>
      </c>
      <c r="U164" s="189">
        <f t="shared" si="47"/>
        <v>0</v>
      </c>
      <c r="V164" s="189">
        <f t="shared" si="47"/>
        <v>0</v>
      </c>
      <c r="W164" s="139">
        <f t="shared" si="44"/>
        <v>0</v>
      </c>
      <c r="X164" s="143">
        <f>SUM(X155:X163)</f>
        <v>121296.5</v>
      </c>
      <c r="Y164" s="143">
        <f>SUM(Y155:Y163)</f>
        <v>970372</v>
      </c>
    </row>
    <row r="165" spans="1:25" ht="18.899999999999999" customHeight="1" x14ac:dyDescent="0.25">
      <c r="A165" s="174" t="s">
        <v>160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6"/>
      <c r="Y165" s="144"/>
    </row>
    <row r="166" spans="1:25" ht="18.899999999999999" customHeight="1" x14ac:dyDescent="0.25">
      <c r="A166" s="163">
        <v>1</v>
      </c>
      <c r="B166" s="164" t="s">
        <v>118</v>
      </c>
      <c r="C166" s="166">
        <v>1</v>
      </c>
      <c r="D166" s="166">
        <v>12</v>
      </c>
      <c r="E166" s="137">
        <v>2512</v>
      </c>
      <c r="F166" s="138">
        <f>E166*C166</f>
        <v>2512</v>
      </c>
      <c r="G166" s="138"/>
      <c r="H166" s="139"/>
      <c r="I166" s="139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39">
        <f>SUM(H166:V166)</f>
        <v>0</v>
      </c>
      <c r="X166" s="138">
        <f>C166*E166+W166</f>
        <v>2512</v>
      </c>
      <c r="Y166" s="138">
        <f>X166*8</f>
        <v>20096</v>
      </c>
    </row>
    <row r="167" spans="1:25" ht="18.899999999999999" customHeight="1" x14ac:dyDescent="0.25">
      <c r="A167" s="163">
        <v>2</v>
      </c>
      <c r="B167" s="164" t="s">
        <v>124</v>
      </c>
      <c r="C167" s="166">
        <v>2.5</v>
      </c>
      <c r="D167" s="166">
        <v>6</v>
      </c>
      <c r="E167" s="137">
        <v>1718</v>
      </c>
      <c r="F167" s="138">
        <f>E167*C167</f>
        <v>4295</v>
      </c>
      <c r="G167" s="138"/>
      <c r="H167" s="139"/>
      <c r="I167" s="139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39">
        <f>SUM(H167:V167)</f>
        <v>0</v>
      </c>
      <c r="X167" s="138">
        <f>C167*E167+W167</f>
        <v>4295</v>
      </c>
      <c r="Y167" s="138">
        <f>X167*8</f>
        <v>34360</v>
      </c>
    </row>
    <row r="168" spans="1:25" ht="18.899999999999999" customHeight="1" x14ac:dyDescent="0.25">
      <c r="A168" s="163">
        <v>3</v>
      </c>
      <c r="B168" s="164" t="s">
        <v>102</v>
      </c>
      <c r="C168" s="163">
        <v>1</v>
      </c>
      <c r="D168" s="163">
        <v>7</v>
      </c>
      <c r="E168" s="134">
        <v>1825</v>
      </c>
      <c r="F168" s="138">
        <f>E168*C168</f>
        <v>1825</v>
      </c>
      <c r="G168" s="138"/>
      <c r="H168" s="139"/>
      <c r="I168" s="139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39">
        <f>SUM(H168:V168)</f>
        <v>0</v>
      </c>
      <c r="X168" s="138">
        <f>C168*E168+W168</f>
        <v>1825</v>
      </c>
      <c r="Y168" s="138">
        <f>X168*8</f>
        <v>14600</v>
      </c>
    </row>
    <row r="169" spans="1:25" ht="18.899999999999999" customHeight="1" x14ac:dyDescent="0.25">
      <c r="A169" s="163"/>
      <c r="B169" s="164"/>
      <c r="C169" s="189">
        <f>SUM(C166:C168)</f>
        <v>4.5</v>
      </c>
      <c r="D169" s="189"/>
      <c r="E169" s="189"/>
      <c r="F169" s="190">
        <f>SUM(F166:F168)</f>
        <v>8632</v>
      </c>
      <c r="G169" s="190"/>
      <c r="H169" s="189">
        <f>SUM(H166:H168)</f>
        <v>0</v>
      </c>
      <c r="I169" s="189">
        <f>SUM(I166:I168)</f>
        <v>0</v>
      </c>
      <c r="J169" s="189">
        <f t="shared" ref="J169:V169" si="48">SUM(J166:J168)</f>
        <v>0</v>
      </c>
      <c r="K169" s="189">
        <f t="shared" si="48"/>
        <v>0</v>
      </c>
      <c r="L169" s="189">
        <f t="shared" si="48"/>
        <v>0</v>
      </c>
      <c r="M169" s="189">
        <f t="shared" si="48"/>
        <v>0</v>
      </c>
      <c r="N169" s="189">
        <f t="shared" si="48"/>
        <v>0</v>
      </c>
      <c r="O169" s="189">
        <f t="shared" si="48"/>
        <v>0</v>
      </c>
      <c r="P169" s="189">
        <f t="shared" si="48"/>
        <v>0</v>
      </c>
      <c r="Q169" s="189">
        <f t="shared" si="48"/>
        <v>0</v>
      </c>
      <c r="R169" s="189">
        <f t="shared" si="48"/>
        <v>0</v>
      </c>
      <c r="S169" s="189">
        <f t="shared" si="48"/>
        <v>0</v>
      </c>
      <c r="T169" s="189">
        <f t="shared" si="48"/>
        <v>0</v>
      </c>
      <c r="U169" s="189">
        <f t="shared" si="48"/>
        <v>0</v>
      </c>
      <c r="V169" s="189">
        <f t="shared" si="48"/>
        <v>0</v>
      </c>
      <c r="W169" s="139">
        <f>SUM(H169:V169)</f>
        <v>0</v>
      </c>
      <c r="X169" s="169">
        <f>SUM(X166:X168)</f>
        <v>8632</v>
      </c>
      <c r="Y169" s="169">
        <f>SUM(Y166:Y168)</f>
        <v>69056</v>
      </c>
    </row>
    <row r="170" spans="1:25" ht="18.899999999999999" customHeight="1" x14ac:dyDescent="0.25">
      <c r="A170" s="174" t="s">
        <v>161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6"/>
    </row>
    <row r="171" spans="1:25" ht="18.899999999999999" customHeight="1" x14ac:dyDescent="0.25">
      <c r="A171" s="163">
        <v>1</v>
      </c>
      <c r="B171" s="164" t="s">
        <v>118</v>
      </c>
      <c r="C171" s="163">
        <v>1</v>
      </c>
      <c r="D171" s="163">
        <v>10</v>
      </c>
      <c r="E171" s="134">
        <v>2157</v>
      </c>
      <c r="F171" s="183">
        <f>E171*C171</f>
        <v>2157</v>
      </c>
      <c r="G171" s="183"/>
      <c r="H171" s="183"/>
      <c r="I171" s="59">
        <f>ROUNDUP(F171*20%,0)</f>
        <v>432</v>
      </c>
      <c r="J171" s="59"/>
      <c r="K171" s="59"/>
      <c r="L171" s="59"/>
      <c r="M171" s="59"/>
      <c r="N171" s="59">
        <f>ROUNDUP(F171*30%,0)</f>
        <v>648</v>
      </c>
      <c r="O171" s="59"/>
      <c r="P171" s="59"/>
      <c r="Q171" s="59">
        <f>ROUNDUP(E171*25%,0)</f>
        <v>540</v>
      </c>
      <c r="R171" s="59"/>
      <c r="S171" s="59">
        <f>ROUNDUP(F171*15%,0)</f>
        <v>324</v>
      </c>
      <c r="T171" s="59"/>
      <c r="U171" s="59"/>
      <c r="V171" s="59"/>
      <c r="W171" s="59">
        <f>SUM(H171:V171)</f>
        <v>1944</v>
      </c>
      <c r="X171" s="138">
        <f>C171*E171+W171</f>
        <v>4101</v>
      </c>
      <c r="Y171" s="186">
        <f>X171*8</f>
        <v>32808</v>
      </c>
    </row>
    <row r="172" spans="1:25" ht="18.899999999999999" customHeight="1" x14ac:dyDescent="0.25">
      <c r="A172" s="163">
        <v>2</v>
      </c>
      <c r="B172" s="164" t="s">
        <v>127</v>
      </c>
      <c r="C172" s="163">
        <v>4</v>
      </c>
      <c r="D172" s="163">
        <v>10</v>
      </c>
      <c r="E172" s="134">
        <v>2157</v>
      </c>
      <c r="F172" s="183">
        <f>E172*C172</f>
        <v>8628</v>
      </c>
      <c r="G172" s="183"/>
      <c r="H172" s="183"/>
      <c r="I172" s="59">
        <f>ROUNDUP(F172*20%,0)</f>
        <v>1726</v>
      </c>
      <c r="J172" s="59"/>
      <c r="K172" s="59"/>
      <c r="L172" s="59"/>
      <c r="M172" s="59"/>
      <c r="N172" s="59">
        <f>ROUNDUP(F172*30%,0)</f>
        <v>2589</v>
      </c>
      <c r="O172" s="59"/>
      <c r="P172" s="59"/>
      <c r="Q172" s="59"/>
      <c r="R172" s="59"/>
      <c r="S172" s="59"/>
      <c r="T172" s="59"/>
      <c r="U172" s="59"/>
      <c r="V172" s="59"/>
      <c r="W172" s="59">
        <f>SUM(H172:V172)</f>
        <v>4315</v>
      </c>
      <c r="X172" s="138">
        <f>C172*E172+W172</f>
        <v>12943</v>
      </c>
      <c r="Y172" s="186">
        <f>X172*8</f>
        <v>103544</v>
      </c>
    </row>
    <row r="173" spans="1:25" ht="18.899999999999999" customHeight="1" x14ac:dyDescent="0.25">
      <c r="A173" s="163">
        <v>3</v>
      </c>
      <c r="B173" s="164" t="s">
        <v>130</v>
      </c>
      <c r="C173" s="163">
        <v>1</v>
      </c>
      <c r="D173" s="163">
        <v>9</v>
      </c>
      <c r="E173" s="134">
        <v>2050</v>
      </c>
      <c r="F173" s="183">
        <f>E173*C173</f>
        <v>2050</v>
      </c>
      <c r="G173" s="183"/>
      <c r="H173" s="183"/>
      <c r="I173" s="59">
        <f>ROUNDUP(F173*20%,0)</f>
        <v>410</v>
      </c>
      <c r="J173" s="59"/>
      <c r="K173" s="59"/>
      <c r="L173" s="59"/>
      <c r="M173" s="59"/>
      <c r="N173" s="59">
        <f>ROUNDUP(F173*30%,0)</f>
        <v>615</v>
      </c>
      <c r="O173" s="59"/>
      <c r="P173" s="59"/>
      <c r="Q173" s="59"/>
      <c r="R173" s="59"/>
      <c r="S173" s="59"/>
      <c r="T173" s="59"/>
      <c r="U173" s="59"/>
      <c r="V173" s="59"/>
      <c r="W173" s="59">
        <f>SUM(H173:V173)</f>
        <v>1025</v>
      </c>
      <c r="X173" s="138">
        <f>C173*E173+W173</f>
        <v>3075</v>
      </c>
      <c r="Y173" s="186">
        <f>X173*8</f>
        <v>24600</v>
      </c>
    </row>
    <row r="174" spans="1:25" ht="18.899999999999999" customHeight="1" x14ac:dyDescent="0.25">
      <c r="A174" s="163">
        <v>4</v>
      </c>
      <c r="B174" s="164" t="s">
        <v>143</v>
      </c>
      <c r="C174" s="163">
        <v>2</v>
      </c>
      <c r="D174" s="163">
        <v>7</v>
      </c>
      <c r="E174" s="134">
        <v>1825</v>
      </c>
      <c r="F174" s="183">
        <f>E174*C174</f>
        <v>3650</v>
      </c>
      <c r="G174" s="183"/>
      <c r="H174" s="183"/>
      <c r="I174" s="59">
        <f>ROUNDUP(F174*20%,0)</f>
        <v>730</v>
      </c>
      <c r="J174" s="59"/>
      <c r="K174" s="59"/>
      <c r="L174" s="59"/>
      <c r="M174" s="59"/>
      <c r="N174" s="59">
        <f>ROUNDUP(F174*30%,0)</f>
        <v>1095</v>
      </c>
      <c r="O174" s="59"/>
      <c r="P174" s="59"/>
      <c r="Q174" s="59"/>
      <c r="R174" s="59"/>
      <c r="S174" s="59"/>
      <c r="T174" s="59"/>
      <c r="U174" s="59"/>
      <c r="V174" s="59"/>
      <c r="W174" s="59">
        <f>SUM(H174:V174)</f>
        <v>1825</v>
      </c>
      <c r="X174" s="138">
        <f>C174*E174+W174</f>
        <v>5475</v>
      </c>
      <c r="Y174" s="186">
        <f>X174*8</f>
        <v>43800</v>
      </c>
    </row>
    <row r="175" spans="1:25" ht="18.899999999999999" customHeight="1" x14ac:dyDescent="0.25">
      <c r="A175" s="163"/>
      <c r="B175" s="164"/>
      <c r="C175" s="189">
        <f>SUM(C171:C174)</f>
        <v>8</v>
      </c>
      <c r="D175" s="189"/>
      <c r="E175" s="189"/>
      <c r="F175" s="190">
        <f t="shared" ref="F175:V175" si="49">SUM(F171:F174)</f>
        <v>16485</v>
      </c>
      <c r="G175" s="190"/>
      <c r="H175" s="189">
        <f t="shared" si="49"/>
        <v>0</v>
      </c>
      <c r="I175" s="189">
        <f t="shared" si="49"/>
        <v>3298</v>
      </c>
      <c r="J175" s="189">
        <f t="shared" si="49"/>
        <v>0</v>
      </c>
      <c r="K175" s="189">
        <f t="shared" si="49"/>
        <v>0</v>
      </c>
      <c r="L175" s="189">
        <f t="shared" si="49"/>
        <v>0</v>
      </c>
      <c r="M175" s="189">
        <f t="shared" si="49"/>
        <v>0</v>
      </c>
      <c r="N175" s="189">
        <f t="shared" si="49"/>
        <v>4947</v>
      </c>
      <c r="O175" s="189">
        <f t="shared" si="49"/>
        <v>0</v>
      </c>
      <c r="P175" s="189">
        <f t="shared" si="49"/>
        <v>0</v>
      </c>
      <c r="Q175" s="189">
        <f t="shared" si="49"/>
        <v>540</v>
      </c>
      <c r="R175" s="189">
        <f t="shared" si="49"/>
        <v>0</v>
      </c>
      <c r="S175" s="189">
        <f t="shared" si="49"/>
        <v>324</v>
      </c>
      <c r="T175" s="189">
        <f t="shared" si="49"/>
        <v>0</v>
      </c>
      <c r="U175" s="189">
        <f t="shared" si="49"/>
        <v>0</v>
      </c>
      <c r="V175" s="189">
        <f t="shared" si="49"/>
        <v>0</v>
      </c>
      <c r="W175" s="59">
        <f>SUM(H175:V175)</f>
        <v>9109</v>
      </c>
      <c r="X175" s="143">
        <f>SUM(X171:X174)</f>
        <v>25594</v>
      </c>
      <c r="Y175" s="143">
        <f>SUM(Y171:Y174)</f>
        <v>204752</v>
      </c>
    </row>
    <row r="176" spans="1:25" ht="18.899999999999999" customHeight="1" x14ac:dyDescent="0.25">
      <c r="A176" s="174" t="s">
        <v>162</v>
      </c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6"/>
    </row>
    <row r="177" spans="1:25" ht="18.899999999999999" customHeight="1" x14ac:dyDescent="0.25">
      <c r="A177" s="163">
        <v>1</v>
      </c>
      <c r="B177" s="164" t="s">
        <v>118</v>
      </c>
      <c r="C177" s="163">
        <v>1</v>
      </c>
      <c r="D177" s="163">
        <v>12</v>
      </c>
      <c r="E177" s="134">
        <v>2512</v>
      </c>
      <c r="F177" s="183">
        <f>E177*C177</f>
        <v>2512</v>
      </c>
      <c r="G177" s="183"/>
      <c r="H177" s="183"/>
      <c r="I177" s="59">
        <f>ROUNDUP(F177*20%,0)</f>
        <v>503</v>
      </c>
      <c r="J177" s="189"/>
      <c r="K177" s="189"/>
      <c r="L177" s="189"/>
      <c r="M177" s="189"/>
      <c r="N177" s="134">
        <f>ROUNDUP(F177*30%,0)</f>
        <v>754</v>
      </c>
      <c r="O177" s="189"/>
      <c r="P177" s="189"/>
      <c r="Q177" s="189"/>
      <c r="R177" s="189"/>
      <c r="S177" s="189"/>
      <c r="T177" s="189"/>
      <c r="U177" s="189"/>
      <c r="V177" s="189"/>
      <c r="W177" s="59">
        <f>SUM(H177:V177)</f>
        <v>1257</v>
      </c>
      <c r="X177" s="138">
        <f>C177*E177+W177</f>
        <v>3769</v>
      </c>
      <c r="Y177" s="186">
        <f>X177*8</f>
        <v>30152</v>
      </c>
    </row>
    <row r="178" spans="1:25" ht="18.899999999999999" customHeight="1" x14ac:dyDescent="0.25">
      <c r="A178" s="163">
        <v>2</v>
      </c>
      <c r="B178" s="164" t="s">
        <v>99</v>
      </c>
      <c r="C178" s="163">
        <v>3</v>
      </c>
      <c r="D178" s="163">
        <v>9</v>
      </c>
      <c r="E178" s="134">
        <v>2050</v>
      </c>
      <c r="F178" s="183">
        <f>E178*C178</f>
        <v>6150</v>
      </c>
      <c r="G178" s="183"/>
      <c r="H178" s="183"/>
      <c r="I178" s="183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>
        <f>SUM(H178:V178)</f>
        <v>0</v>
      </c>
      <c r="X178" s="138">
        <f>C178*E178+W178</f>
        <v>6150</v>
      </c>
      <c r="Y178" s="186">
        <f>X178*8</f>
        <v>49200</v>
      </c>
    </row>
    <row r="179" spans="1:25" ht="18.899999999999999" customHeight="1" x14ac:dyDescent="0.25">
      <c r="A179" s="163"/>
      <c r="B179" s="164"/>
      <c r="C179" s="189">
        <f>SUM(C177:C178)</f>
        <v>4</v>
      </c>
      <c r="D179" s="189"/>
      <c r="E179" s="189"/>
      <c r="F179" s="190">
        <f>SUM(F177:F178)</f>
        <v>8662</v>
      </c>
      <c r="G179" s="190"/>
      <c r="H179" s="189">
        <f t="shared" ref="H179:V179" si="50">SUM(H177:H178)</f>
        <v>0</v>
      </c>
      <c r="I179" s="189">
        <f t="shared" si="50"/>
        <v>503</v>
      </c>
      <c r="J179" s="189">
        <f t="shared" si="50"/>
        <v>0</v>
      </c>
      <c r="K179" s="189">
        <f t="shared" si="50"/>
        <v>0</v>
      </c>
      <c r="L179" s="189">
        <f t="shared" si="50"/>
        <v>0</v>
      </c>
      <c r="M179" s="189">
        <f t="shared" si="50"/>
        <v>0</v>
      </c>
      <c r="N179" s="189">
        <f t="shared" si="50"/>
        <v>754</v>
      </c>
      <c r="O179" s="189">
        <f t="shared" si="50"/>
        <v>0</v>
      </c>
      <c r="P179" s="189">
        <f t="shared" si="50"/>
        <v>0</v>
      </c>
      <c r="Q179" s="189">
        <f t="shared" si="50"/>
        <v>0</v>
      </c>
      <c r="R179" s="189">
        <f t="shared" si="50"/>
        <v>0</v>
      </c>
      <c r="S179" s="189">
        <f t="shared" si="50"/>
        <v>0</v>
      </c>
      <c r="T179" s="189">
        <f t="shared" si="50"/>
        <v>0</v>
      </c>
      <c r="U179" s="189">
        <f t="shared" si="50"/>
        <v>0</v>
      </c>
      <c r="V179" s="189">
        <f t="shared" si="50"/>
        <v>0</v>
      </c>
      <c r="W179" s="184">
        <f>SUM(H179:V179)</f>
        <v>1257</v>
      </c>
      <c r="X179" s="143">
        <f>SUM(X177:X178)</f>
        <v>9919</v>
      </c>
      <c r="Y179" s="143">
        <f>SUM(Y177:Y178)</f>
        <v>79352</v>
      </c>
    </row>
    <row r="180" spans="1:25" ht="18" customHeight="1" x14ac:dyDescent="0.25">
      <c r="A180" s="174" t="s">
        <v>163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6"/>
      <c r="Y180" s="163"/>
    </row>
    <row r="181" spans="1:25" ht="18" customHeight="1" x14ac:dyDescent="0.25">
      <c r="A181" s="163">
        <v>1</v>
      </c>
      <c r="B181" s="164" t="s">
        <v>118</v>
      </c>
      <c r="C181" s="166">
        <v>1</v>
      </c>
      <c r="D181" s="166">
        <v>10</v>
      </c>
      <c r="E181" s="137">
        <v>2157</v>
      </c>
      <c r="F181" s="138">
        <f t="shared" ref="F181:F188" si="51">E181*C181</f>
        <v>2157</v>
      </c>
      <c r="G181" s="138"/>
      <c r="H181" s="139"/>
      <c r="I181" s="13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139">
        <f t="shared" ref="W181:W188" si="52">SUM(H181:V181)</f>
        <v>0</v>
      </c>
      <c r="X181" s="138">
        <f t="shared" ref="X181:X188" si="53">C181*E181+W181</f>
        <v>2157</v>
      </c>
      <c r="Y181" s="186">
        <f>X181*8</f>
        <v>17256</v>
      </c>
    </row>
    <row r="182" spans="1:25" ht="18" customHeight="1" x14ac:dyDescent="0.25">
      <c r="A182" s="163">
        <v>2</v>
      </c>
      <c r="B182" s="164" t="s">
        <v>136</v>
      </c>
      <c r="C182" s="166">
        <v>1</v>
      </c>
      <c r="D182" s="166"/>
      <c r="E182" s="137">
        <v>2049</v>
      </c>
      <c r="F182" s="138">
        <f t="shared" si="51"/>
        <v>2049</v>
      </c>
      <c r="G182" s="138"/>
      <c r="H182" s="139"/>
      <c r="I182" s="13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139">
        <f>SUM(H182:V182)</f>
        <v>0</v>
      </c>
      <c r="X182" s="138">
        <f>C182*E182+W182</f>
        <v>2049</v>
      </c>
      <c r="Y182" s="186">
        <f t="shared" ref="Y182:Y188" si="54">X182*8</f>
        <v>16392</v>
      </c>
    </row>
    <row r="183" spans="1:25" ht="18" customHeight="1" x14ac:dyDescent="0.25">
      <c r="A183" s="163">
        <v>3</v>
      </c>
      <c r="B183" s="164" t="s">
        <v>164</v>
      </c>
      <c r="C183" s="166">
        <v>1</v>
      </c>
      <c r="D183" s="166">
        <v>9</v>
      </c>
      <c r="E183" s="137">
        <v>2050</v>
      </c>
      <c r="F183" s="138">
        <f t="shared" si="51"/>
        <v>2050</v>
      </c>
      <c r="G183" s="138"/>
      <c r="H183" s="139"/>
      <c r="I183" s="13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139">
        <f t="shared" si="52"/>
        <v>0</v>
      </c>
      <c r="X183" s="138">
        <f t="shared" si="53"/>
        <v>2050</v>
      </c>
      <c r="Y183" s="186">
        <f t="shared" si="54"/>
        <v>16400</v>
      </c>
    </row>
    <row r="184" spans="1:25" ht="18" customHeight="1" x14ac:dyDescent="0.25">
      <c r="A184" s="163">
        <v>4</v>
      </c>
      <c r="B184" s="164" t="s">
        <v>165</v>
      </c>
      <c r="C184" s="166">
        <v>1</v>
      </c>
      <c r="D184" s="205">
        <v>7</v>
      </c>
      <c r="E184" s="137">
        <v>1825</v>
      </c>
      <c r="F184" s="138">
        <f t="shared" si="51"/>
        <v>1825</v>
      </c>
      <c r="G184" s="138"/>
      <c r="H184" s="139"/>
      <c r="I184" s="13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139">
        <f t="shared" si="52"/>
        <v>0</v>
      </c>
      <c r="X184" s="138">
        <f t="shared" si="53"/>
        <v>1825</v>
      </c>
      <c r="Y184" s="186">
        <f t="shared" si="54"/>
        <v>14600</v>
      </c>
    </row>
    <row r="185" spans="1:25" ht="18" customHeight="1" x14ac:dyDescent="0.25">
      <c r="A185" s="163">
        <v>5</v>
      </c>
      <c r="B185" s="164" t="s">
        <v>99</v>
      </c>
      <c r="C185" s="166">
        <v>7</v>
      </c>
      <c r="D185" s="166">
        <v>9</v>
      </c>
      <c r="E185" s="137">
        <v>2050</v>
      </c>
      <c r="F185" s="138">
        <f t="shared" si="51"/>
        <v>14350</v>
      </c>
      <c r="G185" s="138"/>
      <c r="H185" s="139"/>
      <c r="I185" s="13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139">
        <f t="shared" si="52"/>
        <v>0</v>
      </c>
      <c r="X185" s="138">
        <f t="shared" si="53"/>
        <v>14350</v>
      </c>
      <c r="Y185" s="186">
        <f t="shared" si="54"/>
        <v>114800</v>
      </c>
    </row>
    <row r="186" spans="1:25" ht="18" customHeight="1" x14ac:dyDescent="0.25">
      <c r="A186" s="163">
        <v>6</v>
      </c>
      <c r="B186" s="164" t="s">
        <v>100</v>
      </c>
      <c r="C186" s="166">
        <v>1</v>
      </c>
      <c r="D186" s="166">
        <v>8</v>
      </c>
      <c r="E186" s="137">
        <v>1943</v>
      </c>
      <c r="F186" s="138">
        <f t="shared" si="51"/>
        <v>1943</v>
      </c>
      <c r="G186" s="138"/>
      <c r="H186" s="139"/>
      <c r="I186" s="13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139">
        <f t="shared" si="52"/>
        <v>0</v>
      </c>
      <c r="X186" s="138">
        <f t="shared" si="53"/>
        <v>1943</v>
      </c>
      <c r="Y186" s="186">
        <f t="shared" si="54"/>
        <v>15544</v>
      </c>
    </row>
    <row r="187" spans="1:25" ht="18" customHeight="1" x14ac:dyDescent="0.25">
      <c r="A187" s="163">
        <v>7</v>
      </c>
      <c r="B187" s="164" t="s">
        <v>166</v>
      </c>
      <c r="C187" s="166">
        <v>4</v>
      </c>
      <c r="D187" s="166">
        <v>7</v>
      </c>
      <c r="E187" s="137">
        <v>1825</v>
      </c>
      <c r="F187" s="138">
        <f t="shared" si="51"/>
        <v>7300</v>
      </c>
      <c r="G187" s="138"/>
      <c r="H187" s="139"/>
      <c r="I187" s="13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139">
        <f t="shared" si="52"/>
        <v>0</v>
      </c>
      <c r="X187" s="138">
        <f t="shared" si="53"/>
        <v>7300</v>
      </c>
      <c r="Y187" s="186">
        <f t="shared" si="54"/>
        <v>58400</v>
      </c>
    </row>
    <row r="188" spans="1:25" ht="18" customHeight="1" x14ac:dyDescent="0.25">
      <c r="A188" s="163">
        <v>8</v>
      </c>
      <c r="B188" s="164" t="s">
        <v>167</v>
      </c>
      <c r="C188" s="166">
        <v>2</v>
      </c>
      <c r="D188" s="166">
        <v>1</v>
      </c>
      <c r="E188" s="137">
        <v>1516</v>
      </c>
      <c r="F188" s="138">
        <f t="shared" si="51"/>
        <v>3032</v>
      </c>
      <c r="G188" s="138"/>
      <c r="H188" s="139"/>
      <c r="I188" s="13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139">
        <f t="shared" si="52"/>
        <v>0</v>
      </c>
      <c r="X188" s="138">
        <f t="shared" si="53"/>
        <v>3032</v>
      </c>
      <c r="Y188" s="186">
        <f t="shared" si="54"/>
        <v>24256</v>
      </c>
    </row>
    <row r="189" spans="1:25" ht="18" customHeight="1" x14ac:dyDescent="0.25">
      <c r="A189" s="206"/>
      <c r="B189" s="207"/>
      <c r="C189" s="208">
        <f>SUM(C181:C188)</f>
        <v>18</v>
      </c>
      <c r="D189" s="208"/>
      <c r="E189" s="208"/>
      <c r="F189" s="209">
        <f t="shared" ref="F189:Y189" si="55">SUM(F181:F188)</f>
        <v>34706</v>
      </c>
      <c r="G189" s="209"/>
      <c r="H189" s="209">
        <f t="shared" si="55"/>
        <v>0</v>
      </c>
      <c r="I189" s="209">
        <f t="shared" si="55"/>
        <v>0</v>
      </c>
      <c r="J189" s="209">
        <f t="shared" si="55"/>
        <v>0</v>
      </c>
      <c r="K189" s="209">
        <f t="shared" si="55"/>
        <v>0</v>
      </c>
      <c r="L189" s="209">
        <f t="shared" si="55"/>
        <v>0</v>
      </c>
      <c r="M189" s="209">
        <f t="shared" si="55"/>
        <v>0</v>
      </c>
      <c r="N189" s="209">
        <f t="shared" si="55"/>
        <v>0</v>
      </c>
      <c r="O189" s="209">
        <f t="shared" si="55"/>
        <v>0</v>
      </c>
      <c r="P189" s="209">
        <f t="shared" si="55"/>
        <v>0</v>
      </c>
      <c r="Q189" s="209">
        <f t="shared" si="55"/>
        <v>0</v>
      </c>
      <c r="R189" s="209">
        <f t="shared" si="55"/>
        <v>0</v>
      </c>
      <c r="S189" s="209">
        <f t="shared" si="55"/>
        <v>0</v>
      </c>
      <c r="T189" s="209">
        <f t="shared" si="55"/>
        <v>0</v>
      </c>
      <c r="U189" s="210">
        <f t="shared" si="55"/>
        <v>0</v>
      </c>
      <c r="V189" s="210">
        <f t="shared" si="55"/>
        <v>0</v>
      </c>
      <c r="W189" s="209">
        <f t="shared" si="55"/>
        <v>0</v>
      </c>
      <c r="X189" s="143">
        <f t="shared" si="55"/>
        <v>34706</v>
      </c>
      <c r="Y189" s="143">
        <f t="shared" si="55"/>
        <v>277648</v>
      </c>
    </row>
    <row r="190" spans="1:25" ht="18" customHeight="1" x14ac:dyDescent="0.25">
      <c r="A190" s="179" t="s">
        <v>168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1"/>
    </row>
    <row r="191" spans="1:25" ht="18" customHeight="1" x14ac:dyDescent="0.25">
      <c r="A191" s="211">
        <v>1</v>
      </c>
      <c r="B191" s="212" t="s">
        <v>169</v>
      </c>
      <c r="C191" s="211">
        <v>1</v>
      </c>
      <c r="D191" s="211">
        <v>9</v>
      </c>
      <c r="E191" s="211">
        <v>2050</v>
      </c>
      <c r="F191" s="213">
        <f>E191*C191</f>
        <v>2050</v>
      </c>
      <c r="G191" s="213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>
        <f>SUM(H191:V191)</f>
        <v>0</v>
      </c>
      <c r="X191" s="213">
        <f>W191+F191</f>
        <v>2050</v>
      </c>
      <c r="Y191" s="213">
        <f>X191*8</f>
        <v>16400</v>
      </c>
    </row>
    <row r="192" spans="1:25" ht="18" customHeight="1" x14ac:dyDescent="0.25">
      <c r="A192" s="211">
        <v>2</v>
      </c>
      <c r="B192" s="164" t="s">
        <v>140</v>
      </c>
      <c r="C192" s="166">
        <v>1</v>
      </c>
      <c r="D192" s="211">
        <v>5</v>
      </c>
      <c r="E192" s="211">
        <v>1612</v>
      </c>
      <c r="F192" s="213">
        <f>E192*C192</f>
        <v>1612</v>
      </c>
      <c r="G192" s="213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>
        <f>SUM(H192:V192)</f>
        <v>0</v>
      </c>
      <c r="X192" s="213">
        <f>W192+F192</f>
        <v>1612</v>
      </c>
      <c r="Y192" s="213">
        <f>X192*8</f>
        <v>12896</v>
      </c>
    </row>
    <row r="193" spans="1:25" ht="18" customHeight="1" x14ac:dyDescent="0.25">
      <c r="A193" s="211">
        <v>3</v>
      </c>
      <c r="B193" s="164" t="s">
        <v>99</v>
      </c>
      <c r="C193" s="163">
        <v>1</v>
      </c>
      <c r="D193" s="211">
        <v>9</v>
      </c>
      <c r="E193" s="211">
        <v>2050</v>
      </c>
      <c r="F193" s="213">
        <f>E193*C193</f>
        <v>2050</v>
      </c>
      <c r="G193" s="213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>
        <f>SUM(H193:V193)</f>
        <v>0</v>
      </c>
      <c r="X193" s="213">
        <f>W193+F193</f>
        <v>2050</v>
      </c>
      <c r="Y193" s="213">
        <f>X193*8</f>
        <v>16400</v>
      </c>
    </row>
    <row r="194" spans="1:25" ht="18" customHeight="1" x14ac:dyDescent="0.25">
      <c r="A194" s="211">
        <v>4</v>
      </c>
      <c r="B194" s="164" t="s">
        <v>143</v>
      </c>
      <c r="C194" s="163">
        <f>8-1</f>
        <v>7</v>
      </c>
      <c r="D194" s="211">
        <v>7</v>
      </c>
      <c r="E194" s="211">
        <v>1825</v>
      </c>
      <c r="F194" s="213">
        <f>E194*C194</f>
        <v>12775</v>
      </c>
      <c r="G194" s="213"/>
      <c r="H194" s="211"/>
      <c r="I194" s="137">
        <f>ROUNDUP(F194*20%,0)</f>
        <v>2555</v>
      </c>
      <c r="J194" s="211"/>
      <c r="K194" s="211"/>
      <c r="L194" s="211"/>
      <c r="M194" s="211"/>
      <c r="N194" s="137">
        <f>ROUNDUP(F194*30%,0)</f>
        <v>3833</v>
      </c>
      <c r="O194" s="211"/>
      <c r="P194" s="211"/>
      <c r="Q194" s="211"/>
      <c r="R194" s="211"/>
      <c r="S194" s="211"/>
      <c r="T194" s="211"/>
      <c r="U194" s="211"/>
      <c r="V194" s="211"/>
      <c r="W194" s="211">
        <f>SUM(H194:V194)</f>
        <v>6388</v>
      </c>
      <c r="X194" s="213">
        <f>W194+F194</f>
        <v>19163</v>
      </c>
      <c r="Y194" s="213">
        <f>X194*8</f>
        <v>153304</v>
      </c>
    </row>
    <row r="195" spans="1:25" ht="18" customHeight="1" x14ac:dyDescent="0.25">
      <c r="A195" s="211">
        <v>5</v>
      </c>
      <c r="B195" s="164" t="s">
        <v>142</v>
      </c>
      <c r="C195" s="166">
        <v>1</v>
      </c>
      <c r="D195" s="211">
        <v>5</v>
      </c>
      <c r="E195" s="211">
        <v>1612</v>
      </c>
      <c r="F195" s="213">
        <f>E195*C195</f>
        <v>1612</v>
      </c>
      <c r="G195" s="213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>
        <f>SUM(H195:V195)</f>
        <v>0</v>
      </c>
      <c r="X195" s="213">
        <f>W195+F195</f>
        <v>1612</v>
      </c>
      <c r="Y195" s="213">
        <f>X195*8</f>
        <v>12896</v>
      </c>
    </row>
    <row r="196" spans="1:25" ht="18" customHeight="1" x14ac:dyDescent="0.25">
      <c r="A196" s="44"/>
      <c r="B196" s="214" t="s">
        <v>170</v>
      </c>
      <c r="C196" s="177">
        <f>SUM(C191:C195)</f>
        <v>11</v>
      </c>
      <c r="D196" s="215"/>
      <c r="E196" s="216"/>
      <c r="F196" s="143">
        <f t="shared" ref="F196:Y196" si="56">SUM(F191:F195)</f>
        <v>20099</v>
      </c>
      <c r="G196" s="143"/>
      <c r="H196" s="216">
        <f t="shared" si="56"/>
        <v>0</v>
      </c>
      <c r="I196" s="216">
        <f t="shared" si="56"/>
        <v>2555</v>
      </c>
      <c r="J196" s="216">
        <f t="shared" si="56"/>
        <v>0</v>
      </c>
      <c r="K196" s="216">
        <f t="shared" si="56"/>
        <v>0</v>
      </c>
      <c r="L196" s="216">
        <f t="shared" si="56"/>
        <v>0</v>
      </c>
      <c r="M196" s="216">
        <f t="shared" si="56"/>
        <v>0</v>
      </c>
      <c r="N196" s="216">
        <f t="shared" si="56"/>
        <v>3833</v>
      </c>
      <c r="O196" s="216">
        <f t="shared" si="56"/>
        <v>0</v>
      </c>
      <c r="P196" s="216">
        <f t="shared" si="56"/>
        <v>0</v>
      </c>
      <c r="Q196" s="216">
        <f t="shared" si="56"/>
        <v>0</v>
      </c>
      <c r="R196" s="216">
        <f t="shared" si="56"/>
        <v>0</v>
      </c>
      <c r="S196" s="216">
        <f t="shared" si="56"/>
        <v>0</v>
      </c>
      <c r="T196" s="216">
        <f t="shared" si="56"/>
        <v>0</v>
      </c>
      <c r="U196" s="216">
        <f t="shared" si="56"/>
        <v>0</v>
      </c>
      <c r="V196" s="216">
        <f t="shared" si="56"/>
        <v>0</v>
      </c>
      <c r="W196" s="216">
        <f t="shared" si="56"/>
        <v>6388</v>
      </c>
      <c r="X196" s="143">
        <f t="shared" si="56"/>
        <v>26487</v>
      </c>
      <c r="Y196" s="143">
        <f t="shared" si="56"/>
        <v>211896</v>
      </c>
    </row>
    <row r="197" spans="1:25" ht="18" customHeight="1" x14ac:dyDescent="0.25">
      <c r="A197" s="174" t="s">
        <v>171</v>
      </c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6"/>
      <c r="Y197" s="163"/>
    </row>
    <row r="198" spans="1:25" ht="18" customHeight="1" x14ac:dyDescent="0.25">
      <c r="A198" s="163">
        <v>1</v>
      </c>
      <c r="B198" s="164" t="s">
        <v>118</v>
      </c>
      <c r="C198" s="166">
        <v>1</v>
      </c>
      <c r="D198" s="166">
        <v>10</v>
      </c>
      <c r="E198" s="137">
        <v>2157</v>
      </c>
      <c r="F198" s="138">
        <f t="shared" ref="F198:F214" si="57">E198*C198</f>
        <v>2157</v>
      </c>
      <c r="G198" s="138"/>
      <c r="H198" s="139"/>
      <c r="I198" s="13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139">
        <f t="shared" ref="W198:W216" si="58">SUM(H198:V198)</f>
        <v>0</v>
      </c>
      <c r="X198" s="138">
        <f t="shared" ref="X198:X216" si="59">C198*E198+W198</f>
        <v>2157</v>
      </c>
      <c r="Y198" s="186">
        <f>X198*8</f>
        <v>17256</v>
      </c>
    </row>
    <row r="199" spans="1:25" ht="18" customHeight="1" x14ac:dyDescent="0.25">
      <c r="A199" s="163">
        <v>2</v>
      </c>
      <c r="B199" s="164" t="s">
        <v>99</v>
      </c>
      <c r="C199" s="166">
        <v>1</v>
      </c>
      <c r="D199" s="166">
        <v>9</v>
      </c>
      <c r="E199" s="137">
        <v>2050</v>
      </c>
      <c r="F199" s="138">
        <f t="shared" si="57"/>
        <v>2050</v>
      </c>
      <c r="G199" s="138"/>
      <c r="H199" s="139"/>
      <c r="I199" s="13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139">
        <f t="shared" si="58"/>
        <v>0</v>
      </c>
      <c r="X199" s="138">
        <f t="shared" si="59"/>
        <v>2050</v>
      </c>
      <c r="Y199" s="186">
        <f t="shared" ref="Y199:Y216" si="60">X199*8</f>
        <v>16400</v>
      </c>
    </row>
    <row r="200" spans="1:25" ht="18" customHeight="1" x14ac:dyDescent="0.25">
      <c r="A200" s="163">
        <v>3</v>
      </c>
      <c r="B200" s="164" t="s">
        <v>101</v>
      </c>
      <c r="C200" s="166">
        <v>1</v>
      </c>
      <c r="D200" s="205">
        <v>7</v>
      </c>
      <c r="E200" s="137">
        <v>1825</v>
      </c>
      <c r="F200" s="138">
        <f t="shared" si="57"/>
        <v>1825</v>
      </c>
      <c r="G200" s="138"/>
      <c r="H200" s="139"/>
      <c r="I200" s="13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139">
        <f t="shared" si="58"/>
        <v>0</v>
      </c>
      <c r="X200" s="138">
        <f t="shared" si="59"/>
        <v>1825</v>
      </c>
      <c r="Y200" s="186">
        <f t="shared" si="60"/>
        <v>14600</v>
      </c>
    </row>
    <row r="201" spans="1:25" ht="18" customHeight="1" x14ac:dyDescent="0.25">
      <c r="A201" s="163">
        <v>4</v>
      </c>
      <c r="B201" s="164" t="s">
        <v>172</v>
      </c>
      <c r="C201" s="166">
        <f>13.5-1-0.5+0.5</f>
        <v>12.5</v>
      </c>
      <c r="D201" s="166">
        <v>5</v>
      </c>
      <c r="E201" s="137">
        <v>1612</v>
      </c>
      <c r="F201" s="138">
        <f t="shared" si="57"/>
        <v>20150</v>
      </c>
      <c r="G201" s="138"/>
      <c r="H201" s="139"/>
      <c r="I201" s="13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139">
        <f t="shared" si="58"/>
        <v>0</v>
      </c>
      <c r="X201" s="138">
        <f t="shared" si="59"/>
        <v>20150</v>
      </c>
      <c r="Y201" s="186">
        <f t="shared" si="60"/>
        <v>161200</v>
      </c>
    </row>
    <row r="202" spans="1:25" ht="18" customHeight="1" x14ac:dyDescent="0.25">
      <c r="A202" s="163">
        <v>5</v>
      </c>
      <c r="B202" s="164" t="s">
        <v>173</v>
      </c>
      <c r="C202" s="166">
        <f>94.5+1+1-1</f>
        <v>95.5</v>
      </c>
      <c r="D202" s="166">
        <v>2</v>
      </c>
      <c r="E202" s="137">
        <v>1521</v>
      </c>
      <c r="F202" s="138">
        <f t="shared" si="57"/>
        <v>145255.5</v>
      </c>
      <c r="G202" s="138"/>
      <c r="H202" s="139"/>
      <c r="I202" s="13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f>ROUNDUP(F202*10%,0)</f>
        <v>14526</v>
      </c>
      <c r="U202" s="59"/>
      <c r="V202" s="59"/>
      <c r="W202" s="167">
        <f t="shared" si="58"/>
        <v>14526</v>
      </c>
      <c r="X202" s="138">
        <f t="shared" si="59"/>
        <v>159781.5</v>
      </c>
      <c r="Y202" s="186">
        <f t="shared" si="60"/>
        <v>1278252</v>
      </c>
    </row>
    <row r="203" spans="1:25" ht="18" customHeight="1" x14ac:dyDescent="0.25">
      <c r="A203" s="163">
        <v>6</v>
      </c>
      <c r="B203" s="164" t="s">
        <v>102</v>
      </c>
      <c r="C203" s="166">
        <v>1</v>
      </c>
      <c r="D203" s="166">
        <v>7</v>
      </c>
      <c r="E203" s="137">
        <v>1825</v>
      </c>
      <c r="F203" s="138">
        <f t="shared" si="57"/>
        <v>1825</v>
      </c>
      <c r="G203" s="138"/>
      <c r="H203" s="139"/>
      <c r="I203" s="13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139">
        <f t="shared" si="58"/>
        <v>0</v>
      </c>
      <c r="X203" s="138">
        <f t="shared" si="59"/>
        <v>1825</v>
      </c>
      <c r="Y203" s="186">
        <f t="shared" si="60"/>
        <v>14600</v>
      </c>
    </row>
    <row r="204" spans="1:25" ht="18" customHeight="1" x14ac:dyDescent="0.25">
      <c r="A204" s="163">
        <v>7</v>
      </c>
      <c r="B204" s="164" t="s">
        <v>174</v>
      </c>
      <c r="C204" s="166">
        <f>1+1</f>
        <v>2</v>
      </c>
      <c r="D204" s="166">
        <v>5</v>
      </c>
      <c r="E204" s="137">
        <v>1612</v>
      </c>
      <c r="F204" s="138">
        <f t="shared" si="57"/>
        <v>3224</v>
      </c>
      <c r="G204" s="138"/>
      <c r="H204" s="139"/>
      <c r="I204" s="13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139">
        <f t="shared" si="58"/>
        <v>0</v>
      </c>
      <c r="X204" s="138">
        <f t="shared" si="59"/>
        <v>3224</v>
      </c>
      <c r="Y204" s="186">
        <f t="shared" si="60"/>
        <v>25792</v>
      </c>
    </row>
    <row r="205" spans="1:25" ht="18" customHeight="1" x14ac:dyDescent="0.25">
      <c r="A205" s="163">
        <v>8</v>
      </c>
      <c r="B205" s="164" t="s">
        <v>175</v>
      </c>
      <c r="C205" s="166">
        <f>111-3-2.5-5+1+8-5-6-1+4-2-1+5-3+2</f>
        <v>102.5</v>
      </c>
      <c r="D205" s="166">
        <v>2</v>
      </c>
      <c r="E205" s="137">
        <v>1521</v>
      </c>
      <c r="F205" s="138">
        <f t="shared" si="57"/>
        <v>155902.5</v>
      </c>
      <c r="G205" s="138"/>
      <c r="H205" s="139"/>
      <c r="I205" s="13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139">
        <f t="shared" si="58"/>
        <v>0</v>
      </c>
      <c r="X205" s="138">
        <f t="shared" si="59"/>
        <v>155902.5</v>
      </c>
      <c r="Y205" s="186">
        <f t="shared" si="60"/>
        <v>1247220</v>
      </c>
    </row>
    <row r="206" spans="1:25" ht="18" customHeight="1" x14ac:dyDescent="0.25">
      <c r="A206" s="163">
        <v>9</v>
      </c>
      <c r="B206" s="164" t="s">
        <v>176</v>
      </c>
      <c r="C206" s="163">
        <v>5</v>
      </c>
      <c r="D206" s="163">
        <v>1</v>
      </c>
      <c r="E206" s="134">
        <v>1516</v>
      </c>
      <c r="F206" s="186">
        <f>E206*C206</f>
        <v>7580</v>
      </c>
      <c r="G206" s="186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>
        <f>SUM(H206:V206)</f>
        <v>0</v>
      </c>
      <c r="X206" s="186">
        <f>F206+W206</f>
        <v>7580</v>
      </c>
      <c r="Y206" s="186">
        <f t="shared" si="60"/>
        <v>60640</v>
      </c>
    </row>
    <row r="207" spans="1:25" ht="18" customHeight="1" x14ac:dyDescent="0.25">
      <c r="A207" s="163">
        <v>10</v>
      </c>
      <c r="B207" s="164" t="s">
        <v>177</v>
      </c>
      <c r="C207" s="166">
        <f>31.5+2+5-1</f>
        <v>37.5</v>
      </c>
      <c r="D207" s="166">
        <v>1</v>
      </c>
      <c r="E207" s="137">
        <v>1516</v>
      </c>
      <c r="F207" s="138">
        <f t="shared" si="57"/>
        <v>56850</v>
      </c>
      <c r="G207" s="138"/>
      <c r="H207" s="139"/>
      <c r="I207" s="13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139">
        <f t="shared" si="58"/>
        <v>0</v>
      </c>
      <c r="X207" s="138">
        <f t="shared" si="59"/>
        <v>56850</v>
      </c>
      <c r="Y207" s="186">
        <f t="shared" si="60"/>
        <v>454800</v>
      </c>
    </row>
    <row r="208" spans="1:25" ht="18" customHeight="1" x14ac:dyDescent="0.25">
      <c r="A208" s="163">
        <v>11</v>
      </c>
      <c r="B208" s="164" t="s">
        <v>178</v>
      </c>
      <c r="C208" s="166">
        <f>3-2+0.5</f>
        <v>1.5</v>
      </c>
      <c r="D208" s="166">
        <v>5</v>
      </c>
      <c r="E208" s="137">
        <v>1612</v>
      </c>
      <c r="F208" s="138">
        <f t="shared" si="57"/>
        <v>2418</v>
      </c>
      <c r="G208" s="138"/>
      <c r="H208" s="139"/>
      <c r="I208" s="13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139">
        <f t="shared" si="58"/>
        <v>0</v>
      </c>
      <c r="X208" s="138">
        <f t="shared" si="59"/>
        <v>2418</v>
      </c>
      <c r="Y208" s="186">
        <f t="shared" si="60"/>
        <v>19344</v>
      </c>
    </row>
    <row r="209" spans="1:26" ht="18" customHeight="1" x14ac:dyDescent="0.25">
      <c r="A209" s="163">
        <v>12</v>
      </c>
      <c r="B209" s="164" t="s">
        <v>179</v>
      </c>
      <c r="C209" s="166">
        <f>1.5-0.5</f>
        <v>1</v>
      </c>
      <c r="D209" s="166">
        <v>4</v>
      </c>
      <c r="E209" s="137">
        <v>1543</v>
      </c>
      <c r="F209" s="138">
        <f t="shared" si="57"/>
        <v>1543</v>
      </c>
      <c r="G209" s="138"/>
      <c r="H209" s="139"/>
      <c r="I209" s="13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139">
        <f t="shared" si="58"/>
        <v>0</v>
      </c>
      <c r="X209" s="138">
        <f t="shared" si="59"/>
        <v>1543</v>
      </c>
      <c r="Y209" s="186">
        <f t="shared" si="60"/>
        <v>12344</v>
      </c>
    </row>
    <row r="210" spans="1:26" ht="18" customHeight="1" x14ac:dyDescent="0.25">
      <c r="A210" s="163">
        <v>13</v>
      </c>
      <c r="B210" s="164" t="s">
        <v>180</v>
      </c>
      <c r="C210" s="166">
        <v>1</v>
      </c>
      <c r="D210" s="166">
        <v>3</v>
      </c>
      <c r="E210" s="137">
        <v>1532</v>
      </c>
      <c r="F210" s="138">
        <f t="shared" si="57"/>
        <v>1532</v>
      </c>
      <c r="G210" s="138"/>
      <c r="H210" s="139"/>
      <c r="I210" s="13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139">
        <f t="shared" si="58"/>
        <v>0</v>
      </c>
      <c r="X210" s="138">
        <f t="shared" si="59"/>
        <v>1532</v>
      </c>
      <c r="Y210" s="186">
        <f t="shared" si="60"/>
        <v>12256</v>
      </c>
    </row>
    <row r="211" spans="1:26" ht="18" customHeight="1" x14ac:dyDescent="0.25">
      <c r="A211" s="163">
        <v>14</v>
      </c>
      <c r="B211" s="164" t="s">
        <v>181</v>
      </c>
      <c r="C211" s="166">
        <v>2</v>
      </c>
      <c r="D211" s="166">
        <v>2</v>
      </c>
      <c r="E211" s="137">
        <v>1521</v>
      </c>
      <c r="F211" s="138">
        <f>E211*C211</f>
        <v>3042</v>
      </c>
      <c r="G211" s="138"/>
      <c r="H211" s="139"/>
      <c r="I211" s="13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139">
        <f t="shared" si="58"/>
        <v>0</v>
      </c>
      <c r="X211" s="138">
        <f t="shared" si="59"/>
        <v>3042</v>
      </c>
      <c r="Y211" s="186">
        <f t="shared" si="60"/>
        <v>24336</v>
      </c>
    </row>
    <row r="212" spans="1:26" ht="18" customHeight="1" x14ac:dyDescent="0.25">
      <c r="A212" s="163">
        <v>15</v>
      </c>
      <c r="B212" s="164" t="s">
        <v>167</v>
      </c>
      <c r="C212" s="166">
        <f>5</f>
        <v>5</v>
      </c>
      <c r="D212" s="166">
        <v>1</v>
      </c>
      <c r="E212" s="137">
        <v>1516</v>
      </c>
      <c r="F212" s="138">
        <f t="shared" si="57"/>
        <v>7580</v>
      </c>
      <c r="G212" s="138"/>
      <c r="H212" s="139"/>
      <c r="I212" s="13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139">
        <f t="shared" si="58"/>
        <v>0</v>
      </c>
      <c r="X212" s="138">
        <f t="shared" si="59"/>
        <v>7580</v>
      </c>
      <c r="Y212" s="186">
        <f t="shared" si="60"/>
        <v>60640</v>
      </c>
    </row>
    <row r="213" spans="1:26" ht="18" customHeight="1" x14ac:dyDescent="0.25">
      <c r="A213" s="163">
        <v>16</v>
      </c>
      <c r="B213" s="164" t="s">
        <v>182</v>
      </c>
      <c r="C213" s="166">
        <f>5+1-1</f>
        <v>5</v>
      </c>
      <c r="D213" s="166">
        <v>1</v>
      </c>
      <c r="E213" s="137">
        <v>1516</v>
      </c>
      <c r="F213" s="138">
        <f t="shared" si="57"/>
        <v>7580</v>
      </c>
      <c r="G213" s="138"/>
      <c r="H213" s="139"/>
      <c r="I213" s="13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139">
        <f t="shared" si="58"/>
        <v>0</v>
      </c>
      <c r="X213" s="138">
        <f t="shared" si="59"/>
        <v>7580</v>
      </c>
      <c r="Y213" s="186">
        <f t="shared" si="60"/>
        <v>60640</v>
      </c>
    </row>
    <row r="214" spans="1:26" ht="18" customHeight="1" x14ac:dyDescent="0.25">
      <c r="A214" s="163">
        <v>17</v>
      </c>
      <c r="B214" s="164" t="s">
        <v>183</v>
      </c>
      <c r="C214" s="166">
        <v>1</v>
      </c>
      <c r="D214" s="166">
        <v>5</v>
      </c>
      <c r="E214" s="137">
        <v>1612</v>
      </c>
      <c r="F214" s="138">
        <f t="shared" si="57"/>
        <v>1612</v>
      </c>
      <c r="G214" s="138"/>
      <c r="H214" s="139"/>
      <c r="I214" s="13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139">
        <f t="shared" si="58"/>
        <v>0</v>
      </c>
      <c r="X214" s="138">
        <f t="shared" si="59"/>
        <v>1612</v>
      </c>
      <c r="Y214" s="186">
        <f t="shared" si="60"/>
        <v>12896</v>
      </c>
    </row>
    <row r="215" spans="1:26" ht="18" customHeight="1" x14ac:dyDescent="0.25">
      <c r="A215" s="163">
        <v>18</v>
      </c>
      <c r="B215" s="164" t="s">
        <v>184</v>
      </c>
      <c r="C215" s="166">
        <v>1</v>
      </c>
      <c r="D215" s="166">
        <v>4</v>
      </c>
      <c r="E215" s="137">
        <v>1543</v>
      </c>
      <c r="F215" s="138">
        <f>E215*C215</f>
        <v>1543</v>
      </c>
      <c r="G215" s="138"/>
      <c r="H215" s="139"/>
      <c r="I215" s="13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139">
        <f t="shared" si="58"/>
        <v>0</v>
      </c>
      <c r="X215" s="138">
        <f t="shared" si="59"/>
        <v>1543</v>
      </c>
      <c r="Y215" s="186">
        <f t="shared" si="60"/>
        <v>12344</v>
      </c>
    </row>
    <row r="216" spans="1:26" ht="18" customHeight="1" x14ac:dyDescent="0.25">
      <c r="A216" s="163">
        <v>19</v>
      </c>
      <c r="B216" s="164" t="s">
        <v>185</v>
      </c>
      <c r="C216" s="166">
        <v>1</v>
      </c>
      <c r="D216" s="166">
        <v>3</v>
      </c>
      <c r="E216" s="137">
        <v>1532</v>
      </c>
      <c r="F216" s="138">
        <f>E216*C216</f>
        <v>1532</v>
      </c>
      <c r="G216" s="138"/>
      <c r="H216" s="139"/>
      <c r="I216" s="13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139">
        <f t="shared" si="58"/>
        <v>0</v>
      </c>
      <c r="X216" s="138">
        <f t="shared" si="59"/>
        <v>1532</v>
      </c>
      <c r="Y216" s="186">
        <f t="shared" si="60"/>
        <v>12256</v>
      </c>
    </row>
    <row r="217" spans="1:26" ht="18" customHeight="1" x14ac:dyDescent="0.25">
      <c r="A217" s="163"/>
      <c r="B217" s="164"/>
      <c r="C217" s="144">
        <f>SUM(C198:C216)</f>
        <v>277.5</v>
      </c>
      <c r="D217" s="144"/>
      <c r="E217" s="144"/>
      <c r="F217" s="143">
        <f t="shared" ref="F217:Y217" si="61">SUM(F198:F216)</f>
        <v>425201</v>
      </c>
      <c r="G217" s="143"/>
      <c r="H217" s="144">
        <f t="shared" si="61"/>
        <v>0</v>
      </c>
      <c r="I217" s="144">
        <f t="shared" si="61"/>
        <v>0</v>
      </c>
      <c r="J217" s="144">
        <f t="shared" si="61"/>
        <v>0</v>
      </c>
      <c r="K217" s="144">
        <f t="shared" si="61"/>
        <v>0</v>
      </c>
      <c r="L217" s="144">
        <f t="shared" si="61"/>
        <v>0</v>
      </c>
      <c r="M217" s="144">
        <f t="shared" si="61"/>
        <v>0</v>
      </c>
      <c r="N217" s="144">
        <f t="shared" si="61"/>
        <v>0</v>
      </c>
      <c r="O217" s="144">
        <f t="shared" si="61"/>
        <v>0</v>
      </c>
      <c r="P217" s="144">
        <f t="shared" si="61"/>
        <v>0</v>
      </c>
      <c r="Q217" s="144">
        <f t="shared" si="61"/>
        <v>0</v>
      </c>
      <c r="R217" s="144">
        <f t="shared" si="61"/>
        <v>0</v>
      </c>
      <c r="S217" s="144">
        <f t="shared" si="61"/>
        <v>0</v>
      </c>
      <c r="T217" s="144">
        <f t="shared" si="61"/>
        <v>14526</v>
      </c>
      <c r="U217" s="144">
        <f t="shared" si="61"/>
        <v>0</v>
      </c>
      <c r="V217" s="144">
        <f t="shared" si="61"/>
        <v>0</v>
      </c>
      <c r="W217" s="144">
        <f t="shared" si="61"/>
        <v>14526</v>
      </c>
      <c r="X217" s="143">
        <f t="shared" si="61"/>
        <v>439727</v>
      </c>
      <c r="Y217" s="143">
        <f t="shared" si="61"/>
        <v>3517816</v>
      </c>
      <c r="Z217" s="144">
        <f>SUM(Z198:Z216)</f>
        <v>0</v>
      </c>
    </row>
    <row r="218" spans="1:26" ht="24.9" customHeight="1" x14ac:dyDescent="0.25">
      <c r="A218" s="174" t="s">
        <v>186</v>
      </c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6"/>
      <c r="Y218" s="163"/>
    </row>
    <row r="219" spans="1:26" ht="24.9" customHeight="1" x14ac:dyDescent="0.25">
      <c r="A219" s="163">
        <v>1</v>
      </c>
      <c r="B219" s="194" t="s">
        <v>187</v>
      </c>
      <c r="C219" s="166">
        <v>1</v>
      </c>
      <c r="D219" s="204">
        <v>12</v>
      </c>
      <c r="E219" s="137">
        <v>2512</v>
      </c>
      <c r="F219" s="138">
        <f t="shared" ref="F219:F226" si="62">E219*C219</f>
        <v>2512</v>
      </c>
      <c r="G219" s="138"/>
      <c r="H219" s="139"/>
      <c r="I219" s="13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139">
        <f t="shared" ref="W219:W226" si="63">SUM(H219:V219)</f>
        <v>0</v>
      </c>
      <c r="X219" s="138">
        <f t="shared" ref="X219:X226" si="64">C219*E219+W219</f>
        <v>2512</v>
      </c>
      <c r="Y219" s="186">
        <f>X219*8</f>
        <v>20096</v>
      </c>
    </row>
    <row r="220" spans="1:26" ht="24.9" customHeight="1" x14ac:dyDescent="0.25">
      <c r="A220" s="163">
        <v>2</v>
      </c>
      <c r="B220" s="164" t="s">
        <v>174</v>
      </c>
      <c r="C220" s="166">
        <v>1</v>
      </c>
      <c r="D220" s="166">
        <v>5</v>
      </c>
      <c r="E220" s="137">
        <v>1612</v>
      </c>
      <c r="F220" s="138">
        <f t="shared" si="62"/>
        <v>1612</v>
      </c>
      <c r="G220" s="138"/>
      <c r="H220" s="139"/>
      <c r="I220" s="13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139">
        <f t="shared" si="63"/>
        <v>0</v>
      </c>
      <c r="X220" s="138">
        <f t="shared" si="64"/>
        <v>1612</v>
      </c>
      <c r="Y220" s="186">
        <f t="shared" ref="Y220:Y226" si="65">X220*8</f>
        <v>12896</v>
      </c>
    </row>
    <row r="221" spans="1:26" ht="24.9" customHeight="1" x14ac:dyDescent="0.25">
      <c r="A221" s="163">
        <v>3</v>
      </c>
      <c r="B221" s="164" t="s">
        <v>188</v>
      </c>
      <c r="C221" s="166">
        <v>1</v>
      </c>
      <c r="D221" s="166">
        <v>3</v>
      </c>
      <c r="E221" s="137">
        <v>1532</v>
      </c>
      <c r="F221" s="138">
        <f t="shared" si="62"/>
        <v>1532</v>
      </c>
      <c r="G221" s="138"/>
      <c r="H221" s="139"/>
      <c r="I221" s="13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139">
        <f t="shared" si="63"/>
        <v>0</v>
      </c>
      <c r="X221" s="138">
        <f t="shared" si="64"/>
        <v>1532</v>
      </c>
      <c r="Y221" s="186">
        <f t="shared" si="65"/>
        <v>12256</v>
      </c>
    </row>
    <row r="222" spans="1:26" ht="24.9" customHeight="1" x14ac:dyDescent="0.25">
      <c r="A222" s="163">
        <v>4</v>
      </c>
      <c r="B222" s="164" t="s">
        <v>175</v>
      </c>
      <c r="C222" s="166">
        <v>1</v>
      </c>
      <c r="D222" s="166">
        <v>2</v>
      </c>
      <c r="E222" s="137">
        <v>1521</v>
      </c>
      <c r="F222" s="138">
        <f t="shared" si="62"/>
        <v>1521</v>
      </c>
      <c r="G222" s="138"/>
      <c r="H222" s="139"/>
      <c r="I222" s="13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139">
        <f t="shared" si="63"/>
        <v>0</v>
      </c>
      <c r="X222" s="138">
        <f t="shared" si="64"/>
        <v>1521</v>
      </c>
      <c r="Y222" s="186">
        <f t="shared" si="65"/>
        <v>12168</v>
      </c>
    </row>
    <row r="223" spans="1:26" ht="24.9" customHeight="1" x14ac:dyDescent="0.25">
      <c r="A223" s="163">
        <v>5</v>
      </c>
      <c r="B223" s="164" t="s">
        <v>177</v>
      </c>
      <c r="C223" s="166">
        <v>1</v>
      </c>
      <c r="D223" s="166">
        <v>1</v>
      </c>
      <c r="E223" s="137">
        <v>1516</v>
      </c>
      <c r="F223" s="138">
        <f t="shared" si="62"/>
        <v>1516</v>
      </c>
      <c r="G223" s="138"/>
      <c r="H223" s="139"/>
      <c r="I223" s="13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139">
        <f t="shared" si="63"/>
        <v>0</v>
      </c>
      <c r="X223" s="138">
        <f t="shared" si="64"/>
        <v>1516</v>
      </c>
      <c r="Y223" s="186">
        <f t="shared" si="65"/>
        <v>12128</v>
      </c>
    </row>
    <row r="224" spans="1:26" ht="24.9" customHeight="1" x14ac:dyDescent="0.25">
      <c r="A224" s="163">
        <v>6</v>
      </c>
      <c r="B224" s="164" t="s">
        <v>182</v>
      </c>
      <c r="C224" s="166">
        <v>1</v>
      </c>
      <c r="D224" s="166">
        <v>1</v>
      </c>
      <c r="E224" s="137">
        <v>1516</v>
      </c>
      <c r="F224" s="138">
        <f t="shared" si="62"/>
        <v>1516</v>
      </c>
      <c r="G224" s="138"/>
      <c r="H224" s="139"/>
      <c r="I224" s="13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139">
        <f t="shared" si="63"/>
        <v>0</v>
      </c>
      <c r="X224" s="138">
        <f t="shared" si="64"/>
        <v>1516</v>
      </c>
      <c r="Y224" s="186">
        <f t="shared" si="65"/>
        <v>12128</v>
      </c>
    </row>
    <row r="225" spans="1:29" ht="24.9" customHeight="1" x14ac:dyDescent="0.25">
      <c r="A225" s="163">
        <v>7</v>
      </c>
      <c r="B225" s="164" t="s">
        <v>189</v>
      </c>
      <c r="C225" s="166">
        <v>5</v>
      </c>
      <c r="D225" s="166">
        <v>3</v>
      </c>
      <c r="E225" s="137">
        <v>1532</v>
      </c>
      <c r="F225" s="138">
        <f t="shared" si="62"/>
        <v>7660</v>
      </c>
      <c r="G225" s="138"/>
      <c r="H225" s="139"/>
      <c r="I225" s="13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139">
        <f t="shared" si="63"/>
        <v>0</v>
      </c>
      <c r="X225" s="138">
        <f t="shared" si="64"/>
        <v>7660</v>
      </c>
      <c r="Y225" s="186">
        <f t="shared" si="65"/>
        <v>61280</v>
      </c>
    </row>
    <row r="226" spans="1:29" ht="24.9" customHeight="1" x14ac:dyDescent="0.25">
      <c r="A226" s="163">
        <v>8</v>
      </c>
      <c r="B226" s="164" t="s">
        <v>190</v>
      </c>
      <c r="C226" s="166">
        <v>1</v>
      </c>
      <c r="D226" s="166">
        <v>4</v>
      </c>
      <c r="E226" s="137">
        <v>1543</v>
      </c>
      <c r="F226" s="138">
        <f t="shared" si="62"/>
        <v>1543</v>
      </c>
      <c r="G226" s="138"/>
      <c r="H226" s="139"/>
      <c r="I226" s="13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139">
        <f t="shared" si="63"/>
        <v>0</v>
      </c>
      <c r="X226" s="138">
        <f t="shared" si="64"/>
        <v>1543</v>
      </c>
      <c r="Y226" s="186">
        <f t="shared" si="65"/>
        <v>12344</v>
      </c>
    </row>
    <row r="227" spans="1:29" ht="20.399999999999999" customHeight="1" x14ac:dyDescent="0.25">
      <c r="A227" s="163"/>
      <c r="B227" s="164"/>
      <c r="C227" s="144">
        <f>SUM(C219:C226)</f>
        <v>12</v>
      </c>
      <c r="D227" s="144"/>
      <c r="E227" s="144"/>
      <c r="F227" s="143">
        <f>SUM(F219:F226)</f>
        <v>19412</v>
      </c>
      <c r="G227" s="143"/>
      <c r="H227" s="216">
        <f t="shared" ref="H227:W227" si="66">SUM(H219:H226)</f>
        <v>0</v>
      </c>
      <c r="I227" s="216">
        <f t="shared" si="66"/>
        <v>0</v>
      </c>
      <c r="J227" s="216">
        <f t="shared" si="66"/>
        <v>0</v>
      </c>
      <c r="K227" s="216">
        <f t="shared" si="66"/>
        <v>0</v>
      </c>
      <c r="L227" s="216">
        <f t="shared" si="66"/>
        <v>0</v>
      </c>
      <c r="M227" s="216">
        <f t="shared" si="66"/>
        <v>0</v>
      </c>
      <c r="N227" s="216">
        <f t="shared" si="66"/>
        <v>0</v>
      </c>
      <c r="O227" s="216">
        <f t="shared" si="66"/>
        <v>0</v>
      </c>
      <c r="P227" s="216">
        <f t="shared" si="66"/>
        <v>0</v>
      </c>
      <c r="Q227" s="216">
        <f t="shared" si="66"/>
        <v>0</v>
      </c>
      <c r="R227" s="216">
        <f t="shared" si="66"/>
        <v>0</v>
      </c>
      <c r="S227" s="216">
        <f t="shared" si="66"/>
        <v>0</v>
      </c>
      <c r="T227" s="216">
        <f t="shared" si="66"/>
        <v>0</v>
      </c>
      <c r="U227" s="216">
        <f t="shared" si="66"/>
        <v>0</v>
      </c>
      <c r="V227" s="216">
        <f t="shared" si="66"/>
        <v>0</v>
      </c>
      <c r="W227" s="216">
        <f t="shared" si="66"/>
        <v>0</v>
      </c>
      <c r="X227" s="143">
        <f>SUM(X219:X226)</f>
        <v>19412</v>
      </c>
      <c r="Y227" s="143">
        <f>SUM(Y219:Y226)</f>
        <v>155296</v>
      </c>
    </row>
    <row r="228" spans="1:29" ht="21.9" customHeight="1" x14ac:dyDescent="0.25">
      <c r="A228" s="174" t="s">
        <v>191</v>
      </c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6"/>
      <c r="Y228" s="163"/>
    </row>
    <row r="229" spans="1:29" ht="21.9" customHeight="1" x14ac:dyDescent="0.25">
      <c r="A229" s="163">
        <v>1</v>
      </c>
      <c r="B229" s="164" t="s">
        <v>118</v>
      </c>
      <c r="C229" s="166">
        <v>1</v>
      </c>
      <c r="D229" s="166">
        <v>10</v>
      </c>
      <c r="E229" s="137">
        <v>2157</v>
      </c>
      <c r="F229" s="138">
        <f>E229*C229</f>
        <v>2157</v>
      </c>
      <c r="G229" s="138"/>
      <c r="H229" s="139"/>
      <c r="I229" s="13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139">
        <f>SUM(H229:V229)</f>
        <v>0</v>
      </c>
      <c r="X229" s="138">
        <f>C229*E229+W229</f>
        <v>2157</v>
      </c>
      <c r="Y229" s="186">
        <f>X229*8</f>
        <v>17256</v>
      </c>
    </row>
    <row r="230" spans="1:29" ht="21.9" customHeight="1" x14ac:dyDescent="0.25">
      <c r="A230" s="163">
        <v>2</v>
      </c>
      <c r="B230" s="164" t="s">
        <v>99</v>
      </c>
      <c r="C230" s="166">
        <v>7</v>
      </c>
      <c r="D230" s="166">
        <v>9</v>
      </c>
      <c r="E230" s="137">
        <v>2050</v>
      </c>
      <c r="F230" s="138">
        <f>E230*C230</f>
        <v>14350</v>
      </c>
      <c r="G230" s="138"/>
      <c r="H230" s="139"/>
      <c r="I230" s="13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139">
        <f>SUM(H230:V230)</f>
        <v>0</v>
      </c>
      <c r="X230" s="138">
        <f>C230*E230+W230</f>
        <v>14350</v>
      </c>
      <c r="Y230" s="186">
        <f>X230*8</f>
        <v>114800</v>
      </c>
    </row>
    <row r="231" spans="1:29" ht="21.9" customHeight="1" x14ac:dyDescent="0.25">
      <c r="A231" s="163">
        <v>3</v>
      </c>
      <c r="B231" s="164" t="s">
        <v>102</v>
      </c>
      <c r="C231" s="166">
        <v>12</v>
      </c>
      <c r="D231" s="166">
        <v>7</v>
      </c>
      <c r="E231" s="137">
        <v>1825</v>
      </c>
      <c r="F231" s="138">
        <f>E231*C231</f>
        <v>21900</v>
      </c>
      <c r="G231" s="138"/>
      <c r="H231" s="139"/>
      <c r="I231" s="13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139">
        <f>SUM(H231:V231)</f>
        <v>0</v>
      </c>
      <c r="X231" s="138">
        <f>C231*E231+W231</f>
        <v>21900</v>
      </c>
      <c r="Y231" s="186">
        <f>X231*8</f>
        <v>175200</v>
      </c>
    </row>
    <row r="232" spans="1:29" ht="17.399999999999999" customHeight="1" x14ac:dyDescent="0.25">
      <c r="A232" s="163"/>
      <c r="B232" s="164"/>
      <c r="C232" s="189">
        <f>SUM(C229:C231)</f>
        <v>20</v>
      </c>
      <c r="D232" s="189"/>
      <c r="E232" s="189"/>
      <c r="F232" s="190">
        <f t="shared" ref="F232:Y232" si="67">SUM(F229:F231)</f>
        <v>38407</v>
      </c>
      <c r="G232" s="190"/>
      <c r="H232" s="198">
        <f t="shared" si="67"/>
        <v>0</v>
      </c>
      <c r="I232" s="198">
        <f t="shared" si="67"/>
        <v>0</v>
      </c>
      <c r="J232" s="198">
        <f t="shared" si="67"/>
        <v>0</v>
      </c>
      <c r="K232" s="198">
        <f t="shared" si="67"/>
        <v>0</v>
      </c>
      <c r="L232" s="198">
        <f t="shared" si="67"/>
        <v>0</v>
      </c>
      <c r="M232" s="198">
        <f t="shared" si="67"/>
        <v>0</v>
      </c>
      <c r="N232" s="198">
        <f t="shared" si="67"/>
        <v>0</v>
      </c>
      <c r="O232" s="198">
        <f t="shared" si="67"/>
        <v>0</v>
      </c>
      <c r="P232" s="198">
        <f t="shared" si="67"/>
        <v>0</v>
      </c>
      <c r="Q232" s="198">
        <f t="shared" si="67"/>
        <v>0</v>
      </c>
      <c r="R232" s="198">
        <f t="shared" si="67"/>
        <v>0</v>
      </c>
      <c r="S232" s="198">
        <f t="shared" si="67"/>
        <v>0</v>
      </c>
      <c r="T232" s="198">
        <f t="shared" si="67"/>
        <v>0</v>
      </c>
      <c r="U232" s="198">
        <f t="shared" si="67"/>
        <v>0</v>
      </c>
      <c r="V232" s="198">
        <f t="shared" si="67"/>
        <v>0</v>
      </c>
      <c r="W232" s="198">
        <f t="shared" si="67"/>
        <v>0</v>
      </c>
      <c r="X232" s="190">
        <f t="shared" si="67"/>
        <v>38407</v>
      </c>
      <c r="Y232" s="190">
        <f t="shared" si="67"/>
        <v>307256</v>
      </c>
      <c r="Z232" s="190">
        <f>SUM(Z229:Z231)</f>
        <v>0</v>
      </c>
      <c r="AA232" s="190">
        <f>SUM(AA229:AA231)</f>
        <v>0</v>
      </c>
      <c r="AB232" s="190">
        <f>SUM(AB229:AB231)</f>
        <v>0</v>
      </c>
      <c r="AC232" s="190">
        <f>SUM(AC229:AC231)</f>
        <v>0</v>
      </c>
    </row>
    <row r="233" spans="1:29" ht="21.9" customHeight="1" x14ac:dyDescent="0.25">
      <c r="A233" s="174" t="s">
        <v>192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6"/>
    </row>
    <row r="234" spans="1:29" ht="21.9" customHeight="1" x14ac:dyDescent="0.25">
      <c r="A234" s="163">
        <v>1</v>
      </c>
      <c r="B234" s="164" t="s">
        <v>118</v>
      </c>
      <c r="C234" s="163">
        <v>1</v>
      </c>
      <c r="D234" s="163">
        <v>12</v>
      </c>
      <c r="E234" s="134">
        <v>2512</v>
      </c>
      <c r="F234" s="183">
        <f>C234*E234</f>
        <v>2512</v>
      </c>
      <c r="G234" s="183"/>
      <c r="H234" s="139"/>
      <c r="I234" s="13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>
        <f>SUM(H234:V234)</f>
        <v>0</v>
      </c>
      <c r="X234" s="138">
        <f>C234*E234+W234</f>
        <v>2512</v>
      </c>
      <c r="Y234" s="186">
        <f>X234*8</f>
        <v>20096</v>
      </c>
    </row>
    <row r="235" spans="1:29" ht="21.9" customHeight="1" x14ac:dyDescent="0.25">
      <c r="A235" s="163">
        <v>2</v>
      </c>
      <c r="B235" s="164" t="s">
        <v>99</v>
      </c>
      <c r="C235" s="163">
        <v>8</v>
      </c>
      <c r="D235" s="163">
        <v>9</v>
      </c>
      <c r="E235" s="134">
        <v>2050</v>
      </c>
      <c r="F235" s="183">
        <f>C235*E235</f>
        <v>16400</v>
      </c>
      <c r="G235" s="183"/>
      <c r="H235" s="139"/>
      <c r="I235" s="13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>
        <f>SUM(H235:V235)</f>
        <v>0</v>
      </c>
      <c r="X235" s="138">
        <f>C235*E235+W235</f>
        <v>16400</v>
      </c>
      <c r="Y235" s="186">
        <f>X235*8</f>
        <v>131200</v>
      </c>
    </row>
    <row r="236" spans="1:29" ht="18" customHeight="1" x14ac:dyDescent="0.25">
      <c r="A236" s="163"/>
      <c r="B236" s="164"/>
      <c r="C236" s="189">
        <f>SUM(C234:C235)</f>
        <v>9</v>
      </c>
      <c r="D236" s="189"/>
      <c r="E236" s="189"/>
      <c r="F236" s="190">
        <f>SUM(F234:F235)</f>
        <v>18912</v>
      </c>
      <c r="G236" s="190"/>
      <c r="H236" s="189">
        <f t="shared" ref="H236:V236" si="68">SUM(H234:H235)</f>
        <v>0</v>
      </c>
      <c r="I236" s="189">
        <f t="shared" si="68"/>
        <v>0</v>
      </c>
      <c r="J236" s="189">
        <f t="shared" si="68"/>
        <v>0</v>
      </c>
      <c r="K236" s="189">
        <f t="shared" si="68"/>
        <v>0</v>
      </c>
      <c r="L236" s="189">
        <f t="shared" si="68"/>
        <v>0</v>
      </c>
      <c r="M236" s="189">
        <f t="shared" si="68"/>
        <v>0</v>
      </c>
      <c r="N236" s="189">
        <f t="shared" si="68"/>
        <v>0</v>
      </c>
      <c r="O236" s="189">
        <f t="shared" si="68"/>
        <v>0</v>
      </c>
      <c r="P236" s="189">
        <f t="shared" si="68"/>
        <v>0</v>
      </c>
      <c r="Q236" s="189">
        <f t="shared" si="68"/>
        <v>0</v>
      </c>
      <c r="R236" s="189">
        <f t="shared" si="68"/>
        <v>0</v>
      </c>
      <c r="S236" s="189">
        <f t="shared" si="68"/>
        <v>0</v>
      </c>
      <c r="T236" s="189">
        <f t="shared" si="68"/>
        <v>0</v>
      </c>
      <c r="U236" s="189">
        <f t="shared" si="68"/>
        <v>0</v>
      </c>
      <c r="V236" s="189">
        <f t="shared" si="68"/>
        <v>0</v>
      </c>
      <c r="W236" s="59">
        <f>SUM(H236:V236)</f>
        <v>0</v>
      </c>
      <c r="X236" s="143">
        <f>SUM(X234:X235)</f>
        <v>18912</v>
      </c>
      <c r="Y236" s="143">
        <f>SUM(Y234:Y235)</f>
        <v>151296</v>
      </c>
    </row>
    <row r="237" spans="1:29" ht="21.9" customHeight="1" x14ac:dyDescent="0.25">
      <c r="A237" s="174" t="s">
        <v>193</v>
      </c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6"/>
    </row>
    <row r="238" spans="1:29" ht="44.4" customHeight="1" x14ac:dyDescent="0.25">
      <c r="A238" s="163">
        <v>1</v>
      </c>
      <c r="B238" s="203" t="s">
        <v>118</v>
      </c>
      <c r="C238" s="163">
        <v>1</v>
      </c>
      <c r="D238" s="163">
        <v>12</v>
      </c>
      <c r="E238" s="134">
        <v>2512</v>
      </c>
      <c r="F238" s="183">
        <f>E238*C238</f>
        <v>2512</v>
      </c>
      <c r="G238" s="183"/>
      <c r="H238" s="139"/>
      <c r="I238" s="13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>
        <f>SUM(H238:V238)</f>
        <v>0</v>
      </c>
      <c r="X238" s="138">
        <f>C238*E238+W238</f>
        <v>2512</v>
      </c>
      <c r="Y238" s="186">
        <f>X238*8</f>
        <v>20096</v>
      </c>
    </row>
    <row r="239" spans="1:29" ht="37.799999999999997" customHeight="1" x14ac:dyDescent="0.25">
      <c r="A239" s="163">
        <v>2</v>
      </c>
      <c r="B239" s="203" t="s">
        <v>194</v>
      </c>
      <c r="C239" s="163">
        <v>1</v>
      </c>
      <c r="D239" s="163"/>
      <c r="E239" s="134">
        <v>2386</v>
      </c>
      <c r="F239" s="183">
        <f>E239*C239</f>
        <v>2386</v>
      </c>
      <c r="G239" s="183"/>
      <c r="H239" s="139"/>
      <c r="I239" s="13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>
        <f>SUM(H239:V239)</f>
        <v>0</v>
      </c>
      <c r="X239" s="138">
        <f>C239*E239+W239</f>
        <v>2386</v>
      </c>
      <c r="Y239" s="186">
        <f>X239*8</f>
        <v>19088</v>
      </c>
    </row>
    <row r="240" spans="1:29" ht="30" customHeight="1" x14ac:dyDescent="0.25">
      <c r="A240" s="163">
        <v>3</v>
      </c>
      <c r="B240" s="203" t="s">
        <v>195</v>
      </c>
      <c r="C240" s="163">
        <v>1</v>
      </c>
      <c r="D240" s="163">
        <v>10</v>
      </c>
      <c r="E240" s="134">
        <v>2157</v>
      </c>
      <c r="F240" s="183">
        <f>E240*C240</f>
        <v>2157</v>
      </c>
      <c r="G240" s="183"/>
      <c r="H240" s="139"/>
      <c r="I240" s="13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>
        <f>SUM(H240:V240)</f>
        <v>0</v>
      </c>
      <c r="X240" s="138">
        <f>C240*E240+W240</f>
        <v>2157</v>
      </c>
      <c r="Y240" s="186">
        <f>X240*8</f>
        <v>17256</v>
      </c>
    </row>
    <row r="241" spans="1:25" ht="21.9" customHeight="1" x14ac:dyDescent="0.25">
      <c r="A241" s="163">
        <v>4</v>
      </c>
      <c r="B241" s="164" t="s">
        <v>196</v>
      </c>
      <c r="C241" s="163">
        <f>3+1</f>
        <v>4</v>
      </c>
      <c r="D241" s="163">
        <v>9</v>
      </c>
      <c r="E241" s="134">
        <v>2050</v>
      </c>
      <c r="F241" s="183">
        <f>E241*C241</f>
        <v>8200</v>
      </c>
      <c r="G241" s="183"/>
      <c r="H241" s="139"/>
      <c r="I241" s="13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>
        <f>SUM(H241:V241)</f>
        <v>0</v>
      </c>
      <c r="X241" s="138">
        <f>C241*E241+W241</f>
        <v>8200</v>
      </c>
      <c r="Y241" s="186">
        <f>X241*8</f>
        <v>65600</v>
      </c>
    </row>
    <row r="242" spans="1:25" ht="21.9" customHeight="1" x14ac:dyDescent="0.25">
      <c r="A242" s="217">
        <v>5</v>
      </c>
      <c r="B242" s="164" t="s">
        <v>197</v>
      </c>
      <c r="C242" s="163">
        <v>2</v>
      </c>
      <c r="D242" s="163">
        <v>7</v>
      </c>
      <c r="E242" s="134">
        <v>1825</v>
      </c>
      <c r="F242" s="183">
        <f>E242*C242</f>
        <v>3650</v>
      </c>
      <c r="G242" s="183"/>
      <c r="H242" s="139"/>
      <c r="I242" s="13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>
        <f>SUM(H242:V242)</f>
        <v>0</v>
      </c>
      <c r="X242" s="138">
        <f>C242*E242+W242</f>
        <v>3650</v>
      </c>
      <c r="Y242" s="186">
        <f>X242*8</f>
        <v>29200</v>
      </c>
    </row>
    <row r="243" spans="1:25" ht="18.600000000000001" customHeight="1" x14ac:dyDescent="0.25">
      <c r="A243" s="163"/>
      <c r="B243" s="164"/>
      <c r="C243" s="189">
        <f>SUM(C238:C242)</f>
        <v>9</v>
      </c>
      <c r="D243" s="189"/>
      <c r="E243" s="189"/>
      <c r="F243" s="190">
        <f>SUM(F238:F242)</f>
        <v>18905</v>
      </c>
      <c r="G243" s="190"/>
      <c r="H243" s="190">
        <f t="shared" ref="H243:Y243" si="69">SUM(H238:H242)</f>
        <v>0</v>
      </c>
      <c r="I243" s="190">
        <f t="shared" si="69"/>
        <v>0</v>
      </c>
      <c r="J243" s="190">
        <f t="shared" si="69"/>
        <v>0</v>
      </c>
      <c r="K243" s="190">
        <f t="shared" si="69"/>
        <v>0</v>
      </c>
      <c r="L243" s="190">
        <f t="shared" si="69"/>
        <v>0</v>
      </c>
      <c r="M243" s="190">
        <f t="shared" si="69"/>
        <v>0</v>
      </c>
      <c r="N243" s="190">
        <f t="shared" si="69"/>
        <v>0</v>
      </c>
      <c r="O243" s="190">
        <f t="shared" si="69"/>
        <v>0</v>
      </c>
      <c r="P243" s="190">
        <f t="shared" si="69"/>
        <v>0</v>
      </c>
      <c r="Q243" s="190">
        <f t="shared" si="69"/>
        <v>0</v>
      </c>
      <c r="R243" s="190">
        <f t="shared" si="69"/>
        <v>0</v>
      </c>
      <c r="S243" s="190">
        <f t="shared" si="69"/>
        <v>0</v>
      </c>
      <c r="T243" s="190">
        <f t="shared" si="69"/>
        <v>0</v>
      </c>
      <c r="U243" s="190">
        <f t="shared" si="69"/>
        <v>0</v>
      </c>
      <c r="V243" s="190">
        <f t="shared" si="69"/>
        <v>0</v>
      </c>
      <c r="W243" s="190">
        <f t="shared" si="69"/>
        <v>0</v>
      </c>
      <c r="X243" s="190">
        <f t="shared" si="69"/>
        <v>18905</v>
      </c>
      <c r="Y243" s="190">
        <f t="shared" si="69"/>
        <v>151240</v>
      </c>
    </row>
    <row r="244" spans="1:25" ht="16.8" customHeight="1" x14ac:dyDescent="0.25">
      <c r="A244" s="174" t="s">
        <v>198</v>
      </c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6"/>
    </row>
    <row r="245" spans="1:25" ht="29.4" customHeight="1" x14ac:dyDescent="0.25">
      <c r="A245" s="163">
        <v>1</v>
      </c>
      <c r="B245" s="194" t="s">
        <v>199</v>
      </c>
      <c r="C245" s="163">
        <v>1</v>
      </c>
      <c r="D245" s="195">
        <v>10</v>
      </c>
      <c r="E245" s="134">
        <v>2157</v>
      </c>
      <c r="F245" s="183">
        <f>E245*C245</f>
        <v>2157</v>
      </c>
      <c r="G245" s="183"/>
      <c r="H245" s="139"/>
      <c r="I245" s="13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>
        <f>SUM(H245:V245)</f>
        <v>0</v>
      </c>
      <c r="X245" s="138">
        <f>C245*E245+W245</f>
        <v>2157</v>
      </c>
      <c r="Y245" s="186">
        <f>X245*8</f>
        <v>17256</v>
      </c>
    </row>
    <row r="246" spans="1:25" ht="21.9" customHeight="1" x14ac:dyDescent="0.25">
      <c r="A246" s="163">
        <v>2</v>
      </c>
      <c r="B246" s="164" t="s">
        <v>119</v>
      </c>
      <c r="C246" s="163">
        <v>4</v>
      </c>
      <c r="D246" s="163">
        <v>7</v>
      </c>
      <c r="E246" s="134">
        <v>1825</v>
      </c>
      <c r="F246" s="183">
        <f>E246*C246</f>
        <v>7300</v>
      </c>
      <c r="G246" s="183"/>
      <c r="H246" s="139"/>
      <c r="I246" s="13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>
        <f>SUM(H246:V246)</f>
        <v>0</v>
      </c>
      <c r="X246" s="138">
        <f>C246*E246+W246</f>
        <v>7300</v>
      </c>
      <c r="Y246" s="186">
        <f>X246*8</f>
        <v>58400</v>
      </c>
    </row>
    <row r="247" spans="1:25" ht="21.9" customHeight="1" x14ac:dyDescent="0.25">
      <c r="A247" s="163">
        <v>3</v>
      </c>
      <c r="B247" s="164" t="s">
        <v>102</v>
      </c>
      <c r="C247" s="163">
        <v>1</v>
      </c>
      <c r="D247" s="163">
        <v>7</v>
      </c>
      <c r="E247" s="134">
        <v>1825</v>
      </c>
      <c r="F247" s="183">
        <f>E247*C247</f>
        <v>1825</v>
      </c>
      <c r="G247" s="183"/>
      <c r="H247" s="139"/>
      <c r="I247" s="13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>
        <f>SUM(H247:V247)</f>
        <v>0</v>
      </c>
      <c r="X247" s="138">
        <f>C247*E247+W247</f>
        <v>1825</v>
      </c>
      <c r="Y247" s="186">
        <f>X247*8</f>
        <v>14600</v>
      </c>
    </row>
    <row r="248" spans="1:25" ht="21.9" customHeight="1" x14ac:dyDescent="0.25">
      <c r="A248" s="163">
        <v>4</v>
      </c>
      <c r="B248" s="164" t="s">
        <v>174</v>
      </c>
      <c r="C248" s="163">
        <v>1.5</v>
      </c>
      <c r="D248" s="163">
        <v>5</v>
      </c>
      <c r="E248" s="134">
        <v>1612</v>
      </c>
      <c r="F248" s="183">
        <f>E248*C248</f>
        <v>2418</v>
      </c>
      <c r="G248" s="183"/>
      <c r="H248" s="139"/>
      <c r="I248" s="13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>
        <f>SUM(H248:V248)</f>
        <v>0</v>
      </c>
      <c r="X248" s="138">
        <f>C248*E248+W248</f>
        <v>2418</v>
      </c>
      <c r="Y248" s="186">
        <f>X248*8</f>
        <v>19344</v>
      </c>
    </row>
    <row r="249" spans="1:25" ht="17.399999999999999" customHeight="1" x14ac:dyDescent="0.25">
      <c r="A249" s="163"/>
      <c r="B249" s="164"/>
      <c r="C249" s="189">
        <f>SUM(C245:C248)</f>
        <v>7.5</v>
      </c>
      <c r="D249" s="189"/>
      <c r="E249" s="189"/>
      <c r="F249" s="190">
        <f>SUM(F245:F248)</f>
        <v>13700</v>
      </c>
      <c r="G249" s="190"/>
      <c r="H249" s="189">
        <f t="shared" ref="H249:Y249" si="70">SUM(H245:H248)</f>
        <v>0</v>
      </c>
      <c r="I249" s="189">
        <f t="shared" si="70"/>
        <v>0</v>
      </c>
      <c r="J249" s="189">
        <f t="shared" si="70"/>
        <v>0</v>
      </c>
      <c r="K249" s="189">
        <f t="shared" si="70"/>
        <v>0</v>
      </c>
      <c r="L249" s="189">
        <f t="shared" si="70"/>
        <v>0</v>
      </c>
      <c r="M249" s="189">
        <f t="shared" si="70"/>
        <v>0</v>
      </c>
      <c r="N249" s="189">
        <f t="shared" si="70"/>
        <v>0</v>
      </c>
      <c r="O249" s="189">
        <f t="shared" si="70"/>
        <v>0</v>
      </c>
      <c r="P249" s="189">
        <f t="shared" si="70"/>
        <v>0</v>
      </c>
      <c r="Q249" s="189">
        <f t="shared" si="70"/>
        <v>0</v>
      </c>
      <c r="R249" s="189">
        <f t="shared" si="70"/>
        <v>0</v>
      </c>
      <c r="S249" s="189">
        <f t="shared" si="70"/>
        <v>0</v>
      </c>
      <c r="T249" s="189">
        <f t="shared" si="70"/>
        <v>0</v>
      </c>
      <c r="U249" s="189">
        <f t="shared" si="70"/>
        <v>0</v>
      </c>
      <c r="V249" s="189">
        <f t="shared" si="70"/>
        <v>0</v>
      </c>
      <c r="W249" s="189">
        <f t="shared" si="70"/>
        <v>0</v>
      </c>
      <c r="X249" s="143">
        <f t="shared" si="70"/>
        <v>13700</v>
      </c>
      <c r="Y249" s="143">
        <f t="shared" si="70"/>
        <v>109600</v>
      </c>
    </row>
    <row r="250" spans="1:25" ht="21.9" customHeight="1" x14ac:dyDescent="0.25">
      <c r="A250" s="217"/>
      <c r="B250" s="218"/>
      <c r="C250" s="219"/>
      <c r="D250" s="219"/>
      <c r="E250" s="219"/>
      <c r="F250" s="220"/>
      <c r="G250" s="220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21"/>
      <c r="X250" s="222"/>
      <c r="Y250" s="223"/>
    </row>
    <row r="251" spans="1:25" ht="20.100000000000001" customHeight="1" x14ac:dyDescent="0.25">
      <c r="A251" s="179" t="s">
        <v>200</v>
      </c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1"/>
    </row>
    <row r="252" spans="1:25" ht="20.100000000000001" customHeight="1" x14ac:dyDescent="0.25">
      <c r="A252" s="163">
        <v>1</v>
      </c>
      <c r="B252" s="164" t="s">
        <v>118</v>
      </c>
      <c r="C252" s="166">
        <v>1</v>
      </c>
      <c r="D252" s="166">
        <v>12</v>
      </c>
      <c r="E252" s="224">
        <v>2512</v>
      </c>
      <c r="F252" s="138">
        <f t="shared" ref="F252:F283" si="71">E252*C252</f>
        <v>2512</v>
      </c>
      <c r="G252" s="138"/>
      <c r="H252" s="139"/>
      <c r="I252" s="13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139">
        <f t="shared" ref="W252:W271" si="72">SUM(H252:V252)</f>
        <v>0</v>
      </c>
      <c r="X252" s="138">
        <f t="shared" ref="X252:X271" si="73">C252*E252+W252</f>
        <v>2512</v>
      </c>
      <c r="Y252" s="138">
        <f>X252*8</f>
        <v>20096</v>
      </c>
    </row>
    <row r="253" spans="1:25" ht="20.100000000000001" customHeight="1" x14ac:dyDescent="0.25">
      <c r="A253" s="163">
        <v>2</v>
      </c>
      <c r="B253" s="135" t="s">
        <v>123</v>
      </c>
      <c r="C253" s="134">
        <v>2</v>
      </c>
      <c r="D253" s="134"/>
      <c r="E253" s="225">
        <v>2386</v>
      </c>
      <c r="F253" s="186">
        <f t="shared" si="71"/>
        <v>4772</v>
      </c>
      <c r="G253" s="186"/>
      <c r="H253" s="139"/>
      <c r="I253" s="13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139">
        <f t="shared" si="72"/>
        <v>0</v>
      </c>
      <c r="X253" s="138">
        <f t="shared" si="73"/>
        <v>4772</v>
      </c>
      <c r="Y253" s="138">
        <f t="shared" ref="Y253:Y283" si="74">X253*8</f>
        <v>38176</v>
      </c>
    </row>
    <row r="254" spans="1:25" ht="20.100000000000001" customHeight="1" x14ac:dyDescent="0.25">
      <c r="A254" s="163">
        <v>3</v>
      </c>
      <c r="B254" s="164" t="s">
        <v>98</v>
      </c>
      <c r="C254" s="166">
        <v>7.5</v>
      </c>
      <c r="D254" s="166">
        <v>10</v>
      </c>
      <c r="E254" s="224">
        <v>2157</v>
      </c>
      <c r="F254" s="138">
        <f t="shared" si="71"/>
        <v>16177.5</v>
      </c>
      <c r="G254" s="138"/>
      <c r="H254" s="139"/>
      <c r="I254" s="13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139">
        <f t="shared" si="72"/>
        <v>0</v>
      </c>
      <c r="X254" s="138">
        <f t="shared" si="73"/>
        <v>16177.5</v>
      </c>
      <c r="Y254" s="138">
        <f t="shared" si="74"/>
        <v>129420</v>
      </c>
    </row>
    <row r="255" spans="1:25" ht="20.100000000000001" customHeight="1" x14ac:dyDescent="0.25">
      <c r="A255" s="163">
        <v>4</v>
      </c>
      <c r="B255" s="164" t="s">
        <v>155</v>
      </c>
      <c r="C255" s="166">
        <v>1</v>
      </c>
      <c r="D255" s="166">
        <v>9</v>
      </c>
      <c r="E255" s="224">
        <v>2050</v>
      </c>
      <c r="F255" s="138">
        <f t="shared" si="71"/>
        <v>2050</v>
      </c>
      <c r="G255" s="138"/>
      <c r="H255" s="139"/>
      <c r="I255" s="13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>
        <f t="shared" si="72"/>
        <v>0</v>
      </c>
      <c r="X255" s="138">
        <f t="shared" si="73"/>
        <v>2050</v>
      </c>
      <c r="Y255" s="138">
        <f t="shared" si="74"/>
        <v>16400</v>
      </c>
    </row>
    <row r="256" spans="1:25" ht="20.100000000000001" customHeight="1" x14ac:dyDescent="0.25">
      <c r="A256" s="163">
        <v>5</v>
      </c>
      <c r="B256" s="164" t="s">
        <v>99</v>
      </c>
      <c r="C256" s="166">
        <v>27</v>
      </c>
      <c r="D256" s="166">
        <v>9</v>
      </c>
      <c r="E256" s="224">
        <v>2050</v>
      </c>
      <c r="F256" s="138">
        <f t="shared" si="71"/>
        <v>55350</v>
      </c>
      <c r="G256" s="138"/>
      <c r="H256" s="139"/>
      <c r="I256" s="13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139">
        <f t="shared" si="72"/>
        <v>0</v>
      </c>
      <c r="X256" s="138">
        <f t="shared" si="73"/>
        <v>55350</v>
      </c>
      <c r="Y256" s="138">
        <f t="shared" si="74"/>
        <v>442800</v>
      </c>
    </row>
    <row r="257" spans="1:25" ht="20.100000000000001" customHeight="1" x14ac:dyDescent="0.25">
      <c r="A257" s="163">
        <v>6</v>
      </c>
      <c r="B257" s="164" t="s">
        <v>100</v>
      </c>
      <c r="C257" s="166">
        <f>1+2-1</f>
        <v>2</v>
      </c>
      <c r="D257" s="166">
        <v>8</v>
      </c>
      <c r="E257" s="224">
        <v>1943</v>
      </c>
      <c r="F257" s="138">
        <f t="shared" si="71"/>
        <v>3886</v>
      </c>
      <c r="G257" s="138"/>
      <c r="H257" s="139"/>
      <c r="I257" s="13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139">
        <f t="shared" si="72"/>
        <v>0</v>
      </c>
      <c r="X257" s="138">
        <f t="shared" si="73"/>
        <v>3886</v>
      </c>
      <c r="Y257" s="138">
        <f t="shared" si="74"/>
        <v>31088</v>
      </c>
    </row>
    <row r="258" spans="1:25" ht="20.100000000000001" customHeight="1" x14ac:dyDescent="0.25">
      <c r="A258" s="163">
        <v>7</v>
      </c>
      <c r="B258" s="164" t="s">
        <v>101</v>
      </c>
      <c r="C258" s="166">
        <v>6</v>
      </c>
      <c r="D258" s="166">
        <v>7</v>
      </c>
      <c r="E258" s="224">
        <v>1825</v>
      </c>
      <c r="F258" s="138">
        <f t="shared" si="71"/>
        <v>10950</v>
      </c>
      <c r="G258" s="138"/>
      <c r="H258" s="139"/>
      <c r="I258" s="13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>
        <f t="shared" si="72"/>
        <v>0</v>
      </c>
      <c r="X258" s="138">
        <f t="shared" si="73"/>
        <v>10950</v>
      </c>
      <c r="Y258" s="138">
        <f t="shared" si="74"/>
        <v>87600</v>
      </c>
    </row>
    <row r="259" spans="1:25" ht="20.100000000000001" customHeight="1" x14ac:dyDescent="0.25">
      <c r="A259" s="163">
        <v>8</v>
      </c>
      <c r="B259" s="164" t="s">
        <v>102</v>
      </c>
      <c r="C259" s="166">
        <v>1</v>
      </c>
      <c r="D259" s="166">
        <v>7</v>
      </c>
      <c r="E259" s="224">
        <v>1825</v>
      </c>
      <c r="F259" s="138">
        <f t="shared" si="71"/>
        <v>1825</v>
      </c>
      <c r="G259" s="138"/>
      <c r="H259" s="139"/>
      <c r="I259" s="13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139">
        <f t="shared" si="72"/>
        <v>0</v>
      </c>
      <c r="X259" s="138">
        <f t="shared" si="73"/>
        <v>1825</v>
      </c>
      <c r="Y259" s="138">
        <f t="shared" si="74"/>
        <v>14600</v>
      </c>
    </row>
    <row r="260" spans="1:25" ht="20.100000000000001" customHeight="1" x14ac:dyDescent="0.25">
      <c r="A260" s="163">
        <v>9</v>
      </c>
      <c r="B260" s="164" t="s">
        <v>174</v>
      </c>
      <c r="C260" s="166">
        <v>4</v>
      </c>
      <c r="D260" s="166">
        <v>5</v>
      </c>
      <c r="E260" s="224">
        <v>1612</v>
      </c>
      <c r="F260" s="138">
        <f t="shared" si="71"/>
        <v>6448</v>
      </c>
      <c r="G260" s="138"/>
      <c r="H260" s="139"/>
      <c r="I260" s="13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139">
        <f t="shared" si="72"/>
        <v>0</v>
      </c>
      <c r="X260" s="138">
        <f t="shared" si="73"/>
        <v>6448</v>
      </c>
      <c r="Y260" s="138">
        <f t="shared" si="74"/>
        <v>51584</v>
      </c>
    </row>
    <row r="261" spans="1:25" ht="20.100000000000001" customHeight="1" x14ac:dyDescent="0.25">
      <c r="A261" s="163">
        <v>10</v>
      </c>
      <c r="B261" s="164" t="s">
        <v>201</v>
      </c>
      <c r="C261" s="166">
        <v>34</v>
      </c>
      <c r="D261" s="166">
        <v>5</v>
      </c>
      <c r="E261" s="224">
        <v>1612</v>
      </c>
      <c r="F261" s="138">
        <f t="shared" si="71"/>
        <v>54808</v>
      </c>
      <c r="G261" s="138"/>
      <c r="H261" s="139"/>
      <c r="I261" s="13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139">
        <f t="shared" si="72"/>
        <v>0</v>
      </c>
      <c r="X261" s="138">
        <f t="shared" si="73"/>
        <v>54808</v>
      </c>
      <c r="Y261" s="138">
        <f t="shared" si="74"/>
        <v>438464</v>
      </c>
    </row>
    <row r="262" spans="1:25" ht="20.100000000000001" customHeight="1" x14ac:dyDescent="0.25">
      <c r="A262" s="163">
        <v>11</v>
      </c>
      <c r="B262" s="164" t="s">
        <v>202</v>
      </c>
      <c r="C262" s="166">
        <f>36-1-12.5+5+2</f>
        <v>29.5</v>
      </c>
      <c r="D262" s="166">
        <v>4</v>
      </c>
      <c r="E262" s="224">
        <v>1543</v>
      </c>
      <c r="F262" s="138">
        <f t="shared" si="71"/>
        <v>45518.5</v>
      </c>
      <c r="G262" s="138"/>
      <c r="H262" s="139"/>
      <c r="I262" s="13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139">
        <f t="shared" si="72"/>
        <v>0</v>
      </c>
      <c r="X262" s="138">
        <f t="shared" si="73"/>
        <v>45518.5</v>
      </c>
      <c r="Y262" s="138">
        <f t="shared" si="74"/>
        <v>364148</v>
      </c>
    </row>
    <row r="263" spans="1:25" ht="20.100000000000001" customHeight="1" x14ac:dyDescent="0.25">
      <c r="A263" s="163">
        <v>12</v>
      </c>
      <c r="B263" s="164" t="s">
        <v>203</v>
      </c>
      <c r="C263" s="166">
        <v>13</v>
      </c>
      <c r="D263" s="166">
        <v>3</v>
      </c>
      <c r="E263" s="224">
        <v>1532</v>
      </c>
      <c r="F263" s="138">
        <f t="shared" si="71"/>
        <v>19916</v>
      </c>
      <c r="G263" s="138"/>
      <c r="H263" s="139"/>
      <c r="I263" s="13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139">
        <f t="shared" si="72"/>
        <v>0</v>
      </c>
      <c r="X263" s="138">
        <f t="shared" si="73"/>
        <v>19916</v>
      </c>
      <c r="Y263" s="138">
        <f t="shared" si="74"/>
        <v>159328</v>
      </c>
    </row>
    <row r="264" spans="1:25" ht="20.100000000000001" customHeight="1" x14ac:dyDescent="0.25">
      <c r="A264" s="163">
        <v>13</v>
      </c>
      <c r="B264" s="164" t="s">
        <v>204</v>
      </c>
      <c r="C264" s="166">
        <f>1+6-3</f>
        <v>4</v>
      </c>
      <c r="D264" s="166">
        <v>3</v>
      </c>
      <c r="E264" s="224">
        <v>1532</v>
      </c>
      <c r="F264" s="138">
        <f t="shared" si="71"/>
        <v>6128</v>
      </c>
      <c r="G264" s="138"/>
      <c r="H264" s="139"/>
      <c r="I264" s="13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139">
        <f t="shared" si="72"/>
        <v>0</v>
      </c>
      <c r="X264" s="138">
        <f t="shared" si="73"/>
        <v>6128</v>
      </c>
      <c r="Y264" s="138">
        <f t="shared" si="74"/>
        <v>49024</v>
      </c>
    </row>
    <row r="265" spans="1:25" ht="20.100000000000001" customHeight="1" x14ac:dyDescent="0.25">
      <c r="A265" s="163">
        <v>14</v>
      </c>
      <c r="B265" s="164" t="s">
        <v>205</v>
      </c>
      <c r="C265" s="166">
        <v>1</v>
      </c>
      <c r="D265" s="166">
        <v>5</v>
      </c>
      <c r="E265" s="224">
        <v>1612</v>
      </c>
      <c r="F265" s="138">
        <f t="shared" si="71"/>
        <v>1612</v>
      </c>
      <c r="G265" s="138"/>
      <c r="H265" s="139"/>
      <c r="I265" s="13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139">
        <f t="shared" si="72"/>
        <v>0</v>
      </c>
      <c r="X265" s="138">
        <f t="shared" si="73"/>
        <v>1612</v>
      </c>
      <c r="Y265" s="138">
        <f t="shared" si="74"/>
        <v>12896</v>
      </c>
    </row>
    <row r="266" spans="1:25" ht="20.100000000000001" customHeight="1" x14ac:dyDescent="0.25">
      <c r="A266" s="163">
        <v>15</v>
      </c>
      <c r="B266" s="164" t="s">
        <v>206</v>
      </c>
      <c r="C266" s="166">
        <f>4-1.5+2</f>
        <v>4.5</v>
      </c>
      <c r="D266" s="166">
        <v>4</v>
      </c>
      <c r="E266" s="224">
        <v>1543</v>
      </c>
      <c r="F266" s="138">
        <f t="shared" si="71"/>
        <v>6943.5</v>
      </c>
      <c r="G266" s="138"/>
      <c r="H266" s="139"/>
      <c r="I266" s="13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139">
        <f t="shared" si="72"/>
        <v>0</v>
      </c>
      <c r="X266" s="138">
        <f t="shared" si="73"/>
        <v>6943.5</v>
      </c>
      <c r="Y266" s="138">
        <f t="shared" si="74"/>
        <v>55548</v>
      </c>
    </row>
    <row r="267" spans="1:25" ht="20.100000000000001" customHeight="1" x14ac:dyDescent="0.25">
      <c r="A267" s="163">
        <v>16</v>
      </c>
      <c r="B267" s="164" t="s">
        <v>207</v>
      </c>
      <c r="C267" s="166">
        <v>0.5</v>
      </c>
      <c r="D267" s="166">
        <v>3</v>
      </c>
      <c r="E267" s="224">
        <v>1532</v>
      </c>
      <c r="F267" s="138">
        <f t="shared" si="71"/>
        <v>766</v>
      </c>
      <c r="G267" s="138"/>
      <c r="H267" s="139"/>
      <c r="I267" s="13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139">
        <f t="shared" si="72"/>
        <v>0</v>
      </c>
      <c r="X267" s="138">
        <f t="shared" si="73"/>
        <v>766</v>
      </c>
      <c r="Y267" s="138">
        <f t="shared" si="74"/>
        <v>6128</v>
      </c>
    </row>
    <row r="268" spans="1:25" ht="20.100000000000001" customHeight="1" x14ac:dyDescent="0.25">
      <c r="A268" s="163">
        <v>17</v>
      </c>
      <c r="B268" s="164" t="s">
        <v>178</v>
      </c>
      <c r="C268" s="166">
        <v>7</v>
      </c>
      <c r="D268" s="166">
        <v>5</v>
      </c>
      <c r="E268" s="224">
        <v>1612</v>
      </c>
      <c r="F268" s="138">
        <f t="shared" si="71"/>
        <v>11284</v>
      </c>
      <c r="G268" s="138"/>
      <c r="H268" s="139"/>
      <c r="I268" s="13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139">
        <f t="shared" si="72"/>
        <v>0</v>
      </c>
      <c r="X268" s="138">
        <f t="shared" si="73"/>
        <v>11284</v>
      </c>
      <c r="Y268" s="138">
        <f t="shared" si="74"/>
        <v>90272</v>
      </c>
    </row>
    <row r="269" spans="1:25" ht="25.5" customHeight="1" x14ac:dyDescent="0.25">
      <c r="A269" s="163">
        <v>18</v>
      </c>
      <c r="B269" s="164" t="s">
        <v>179</v>
      </c>
      <c r="C269" s="166">
        <v>5</v>
      </c>
      <c r="D269" s="166">
        <v>4</v>
      </c>
      <c r="E269" s="224">
        <v>1543</v>
      </c>
      <c r="F269" s="138">
        <f t="shared" si="71"/>
        <v>7715</v>
      </c>
      <c r="G269" s="138"/>
      <c r="H269" s="139"/>
      <c r="I269" s="13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139">
        <f t="shared" si="72"/>
        <v>0</v>
      </c>
      <c r="X269" s="138">
        <f t="shared" si="73"/>
        <v>7715</v>
      </c>
      <c r="Y269" s="138">
        <f t="shared" si="74"/>
        <v>61720</v>
      </c>
    </row>
    <row r="270" spans="1:25" ht="25.5" customHeight="1" x14ac:dyDescent="0.25">
      <c r="A270" s="163">
        <v>19</v>
      </c>
      <c r="B270" s="164" t="s">
        <v>208</v>
      </c>
      <c r="C270" s="166">
        <f>8-3</f>
        <v>5</v>
      </c>
      <c r="D270" s="166">
        <v>3</v>
      </c>
      <c r="E270" s="224">
        <v>1532</v>
      </c>
      <c r="F270" s="138">
        <f t="shared" si="71"/>
        <v>7660</v>
      </c>
      <c r="G270" s="138"/>
      <c r="H270" s="139"/>
      <c r="I270" s="13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139">
        <f t="shared" si="72"/>
        <v>0</v>
      </c>
      <c r="X270" s="138">
        <f t="shared" si="73"/>
        <v>7660</v>
      </c>
      <c r="Y270" s="138">
        <f t="shared" si="74"/>
        <v>61280</v>
      </c>
    </row>
    <row r="271" spans="1:25" ht="20.100000000000001" customHeight="1" x14ac:dyDescent="0.25">
      <c r="A271" s="163">
        <v>20</v>
      </c>
      <c r="B271" s="226" t="s">
        <v>209</v>
      </c>
      <c r="C271" s="166">
        <f>11-1</f>
        <v>10</v>
      </c>
      <c r="D271" s="204">
        <v>5</v>
      </c>
      <c r="E271" s="224">
        <v>1612</v>
      </c>
      <c r="F271" s="138">
        <f t="shared" si="71"/>
        <v>16120</v>
      </c>
      <c r="G271" s="138"/>
      <c r="H271" s="139"/>
      <c r="I271" s="13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139">
        <f t="shared" si="72"/>
        <v>0</v>
      </c>
      <c r="X271" s="138">
        <f t="shared" si="73"/>
        <v>16120</v>
      </c>
      <c r="Y271" s="138">
        <f t="shared" si="74"/>
        <v>128960</v>
      </c>
    </row>
    <row r="272" spans="1:25" ht="20.100000000000001" customHeight="1" x14ac:dyDescent="0.25">
      <c r="A272" s="163">
        <v>21</v>
      </c>
      <c r="B272" s="226" t="s">
        <v>210</v>
      </c>
      <c r="C272" s="166">
        <v>1</v>
      </c>
      <c r="D272" s="166">
        <v>4</v>
      </c>
      <c r="E272" s="224">
        <v>1543</v>
      </c>
      <c r="F272" s="138">
        <f t="shared" si="71"/>
        <v>1543</v>
      </c>
      <c r="G272" s="138"/>
      <c r="H272" s="139"/>
      <c r="I272" s="13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139">
        <f>SUM(H272:V272)</f>
        <v>0</v>
      </c>
      <c r="X272" s="138">
        <f>C272*E272+W272</f>
        <v>1543</v>
      </c>
      <c r="Y272" s="138">
        <f t="shared" si="74"/>
        <v>12344</v>
      </c>
    </row>
    <row r="273" spans="1:25" ht="20.100000000000001" customHeight="1" x14ac:dyDescent="0.25">
      <c r="A273" s="163">
        <v>22</v>
      </c>
      <c r="B273" s="164" t="s">
        <v>183</v>
      </c>
      <c r="C273" s="166">
        <f>2-0.5-1+1-1</f>
        <v>0.5</v>
      </c>
      <c r="D273" s="166">
        <v>5</v>
      </c>
      <c r="E273" s="224">
        <v>1612</v>
      </c>
      <c r="F273" s="138">
        <f t="shared" si="71"/>
        <v>806</v>
      </c>
      <c r="G273" s="138"/>
      <c r="H273" s="139"/>
      <c r="I273" s="13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139">
        <f t="shared" ref="W273:W278" si="75">SUM(H273:V273)</f>
        <v>0</v>
      </c>
      <c r="X273" s="138">
        <f t="shared" ref="X273:X278" si="76">C273*E273+W273</f>
        <v>806</v>
      </c>
      <c r="Y273" s="138">
        <f t="shared" si="74"/>
        <v>6448</v>
      </c>
    </row>
    <row r="274" spans="1:25" ht="20.100000000000001" customHeight="1" x14ac:dyDescent="0.25">
      <c r="A274" s="163">
        <v>23</v>
      </c>
      <c r="B274" s="164" t="s">
        <v>184</v>
      </c>
      <c r="C274" s="166">
        <v>0.5</v>
      </c>
      <c r="D274" s="166">
        <v>4</v>
      </c>
      <c r="E274" s="224">
        <v>1543</v>
      </c>
      <c r="F274" s="138">
        <f t="shared" si="71"/>
        <v>771.5</v>
      </c>
      <c r="G274" s="138"/>
      <c r="H274" s="139"/>
      <c r="I274" s="13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139">
        <f t="shared" si="75"/>
        <v>0</v>
      </c>
      <c r="X274" s="138">
        <f t="shared" si="76"/>
        <v>771.5</v>
      </c>
      <c r="Y274" s="138">
        <f t="shared" si="74"/>
        <v>6172</v>
      </c>
    </row>
    <row r="275" spans="1:25" ht="20.100000000000001" customHeight="1" x14ac:dyDescent="0.25">
      <c r="A275" s="163">
        <v>24</v>
      </c>
      <c r="B275" s="164" t="s">
        <v>211</v>
      </c>
      <c r="C275" s="166">
        <v>1</v>
      </c>
      <c r="D275" s="166">
        <v>3</v>
      </c>
      <c r="E275" s="224">
        <v>1532</v>
      </c>
      <c r="F275" s="138">
        <f t="shared" si="71"/>
        <v>1532</v>
      </c>
      <c r="G275" s="138"/>
      <c r="H275" s="139"/>
      <c r="I275" s="13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139">
        <f t="shared" si="75"/>
        <v>0</v>
      </c>
      <c r="X275" s="138">
        <f t="shared" si="76"/>
        <v>1532</v>
      </c>
      <c r="Y275" s="138">
        <f t="shared" si="74"/>
        <v>12256</v>
      </c>
    </row>
    <row r="276" spans="1:25" ht="20.100000000000001" customHeight="1" x14ac:dyDescent="0.25">
      <c r="A276" s="163">
        <v>25</v>
      </c>
      <c r="B276" s="164" t="s">
        <v>212</v>
      </c>
      <c r="C276" s="166">
        <f>2.5-0.5</f>
        <v>2</v>
      </c>
      <c r="D276" s="166">
        <v>5</v>
      </c>
      <c r="E276" s="224">
        <v>1612</v>
      </c>
      <c r="F276" s="138">
        <f t="shared" si="71"/>
        <v>3224</v>
      </c>
      <c r="G276" s="138"/>
      <c r="H276" s="139"/>
      <c r="I276" s="13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139">
        <f t="shared" si="75"/>
        <v>0</v>
      </c>
      <c r="X276" s="138">
        <f t="shared" si="76"/>
        <v>3224</v>
      </c>
      <c r="Y276" s="138">
        <f t="shared" si="74"/>
        <v>25792</v>
      </c>
    </row>
    <row r="277" spans="1:25" ht="20.100000000000001" customHeight="1" x14ac:dyDescent="0.25">
      <c r="A277" s="163">
        <v>26</v>
      </c>
      <c r="B277" s="164" t="s">
        <v>213</v>
      </c>
      <c r="C277" s="166">
        <v>0.5</v>
      </c>
      <c r="D277" s="166">
        <v>4</v>
      </c>
      <c r="E277" s="224">
        <v>1543</v>
      </c>
      <c r="F277" s="138">
        <f t="shared" si="71"/>
        <v>771.5</v>
      </c>
      <c r="G277" s="138"/>
      <c r="H277" s="139"/>
      <c r="I277" s="13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139">
        <f t="shared" si="75"/>
        <v>0</v>
      </c>
      <c r="X277" s="138">
        <f t="shared" si="76"/>
        <v>771.5</v>
      </c>
      <c r="Y277" s="138">
        <f t="shared" si="74"/>
        <v>6172</v>
      </c>
    </row>
    <row r="278" spans="1:25" ht="20.100000000000001" customHeight="1" x14ac:dyDescent="0.25">
      <c r="A278" s="163">
        <v>27</v>
      </c>
      <c r="B278" s="164" t="s">
        <v>214</v>
      </c>
      <c r="C278" s="166">
        <v>0.5</v>
      </c>
      <c r="D278" s="166">
        <v>3</v>
      </c>
      <c r="E278" s="224">
        <v>1532</v>
      </c>
      <c r="F278" s="138">
        <f t="shared" si="71"/>
        <v>766</v>
      </c>
      <c r="G278" s="138"/>
      <c r="H278" s="139"/>
      <c r="I278" s="13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139">
        <f t="shared" si="75"/>
        <v>0</v>
      </c>
      <c r="X278" s="138">
        <f t="shared" si="76"/>
        <v>766</v>
      </c>
      <c r="Y278" s="138">
        <f t="shared" si="74"/>
        <v>6128</v>
      </c>
    </row>
    <row r="279" spans="1:25" ht="20.100000000000001" customHeight="1" x14ac:dyDescent="0.25">
      <c r="A279" s="163">
        <v>28</v>
      </c>
      <c r="B279" s="164" t="s">
        <v>215</v>
      </c>
      <c r="C279" s="166">
        <v>3</v>
      </c>
      <c r="D279" s="166">
        <v>3</v>
      </c>
      <c r="E279" s="224">
        <v>1532</v>
      </c>
      <c r="F279" s="138">
        <f t="shared" si="71"/>
        <v>4596</v>
      </c>
      <c r="G279" s="138"/>
      <c r="H279" s="139"/>
      <c r="I279" s="13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139">
        <f>SUM(H279:V279)</f>
        <v>0</v>
      </c>
      <c r="X279" s="138">
        <f>C279*E279+W279</f>
        <v>4596</v>
      </c>
      <c r="Y279" s="138">
        <f t="shared" si="74"/>
        <v>36768</v>
      </c>
    </row>
    <row r="280" spans="1:25" ht="20.100000000000001" customHeight="1" x14ac:dyDescent="0.25">
      <c r="A280" s="163">
        <v>29</v>
      </c>
      <c r="B280" s="164" t="s">
        <v>216</v>
      </c>
      <c r="C280" s="166">
        <v>1</v>
      </c>
      <c r="D280" s="166">
        <v>4</v>
      </c>
      <c r="E280" s="224">
        <v>1543</v>
      </c>
      <c r="F280" s="138">
        <f t="shared" si="71"/>
        <v>1543</v>
      </c>
      <c r="G280" s="138"/>
      <c r="H280" s="139"/>
      <c r="I280" s="13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139">
        <f>SUM(H280:V280)</f>
        <v>0</v>
      </c>
      <c r="X280" s="138">
        <f>C280*E280+W280</f>
        <v>1543</v>
      </c>
      <c r="Y280" s="138">
        <f t="shared" si="74"/>
        <v>12344</v>
      </c>
    </row>
    <row r="281" spans="1:25" ht="20.100000000000001" customHeight="1" x14ac:dyDescent="0.25">
      <c r="A281" s="163">
        <v>30</v>
      </c>
      <c r="B281" s="164" t="s">
        <v>217</v>
      </c>
      <c r="C281" s="166">
        <f>1+3</f>
        <v>4</v>
      </c>
      <c r="D281" s="166">
        <v>3</v>
      </c>
      <c r="E281" s="224">
        <v>1532</v>
      </c>
      <c r="F281" s="138">
        <f t="shared" si="71"/>
        <v>6128</v>
      </c>
      <c r="G281" s="138"/>
      <c r="H281" s="139"/>
      <c r="I281" s="13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139">
        <f>SUM(H281:V281)</f>
        <v>0</v>
      </c>
      <c r="X281" s="138">
        <f>C281*E281+W281</f>
        <v>6128</v>
      </c>
      <c r="Y281" s="138">
        <f t="shared" si="74"/>
        <v>49024</v>
      </c>
    </row>
    <row r="282" spans="1:25" ht="20.100000000000001" customHeight="1" x14ac:dyDescent="0.25">
      <c r="A282" s="163">
        <v>31</v>
      </c>
      <c r="B282" s="164" t="s">
        <v>218</v>
      </c>
      <c r="C282" s="166">
        <f>1-0.5</f>
        <v>0.5</v>
      </c>
      <c r="D282" s="166">
        <v>5</v>
      </c>
      <c r="E282" s="224">
        <v>1612</v>
      </c>
      <c r="F282" s="138">
        <f t="shared" si="71"/>
        <v>806</v>
      </c>
      <c r="G282" s="138"/>
      <c r="H282" s="139"/>
      <c r="I282" s="13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139">
        <f>SUM(H282:V282)</f>
        <v>0</v>
      </c>
      <c r="X282" s="138">
        <f>C282*E282+W282</f>
        <v>806</v>
      </c>
      <c r="Y282" s="138">
        <f t="shared" si="74"/>
        <v>6448</v>
      </c>
    </row>
    <row r="283" spans="1:25" ht="20.100000000000001" customHeight="1" x14ac:dyDescent="0.25">
      <c r="A283" s="163">
        <v>32</v>
      </c>
      <c r="B283" s="164" t="s">
        <v>219</v>
      </c>
      <c r="C283" s="166">
        <v>0.5</v>
      </c>
      <c r="D283" s="166">
        <v>3</v>
      </c>
      <c r="E283" s="224">
        <v>1532</v>
      </c>
      <c r="F283" s="138">
        <f t="shared" si="71"/>
        <v>766</v>
      </c>
      <c r="G283" s="138"/>
      <c r="H283" s="139"/>
      <c r="I283" s="13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139">
        <f>SUM(H283:V283)</f>
        <v>0</v>
      </c>
      <c r="X283" s="138">
        <f>C283*E283+W283</f>
        <v>766</v>
      </c>
      <c r="Y283" s="138">
        <f t="shared" si="74"/>
        <v>6128</v>
      </c>
    </row>
    <row r="284" spans="1:25" ht="20.100000000000001" customHeight="1" x14ac:dyDescent="0.25">
      <c r="A284" s="177"/>
      <c r="B284" s="177"/>
      <c r="C284" s="177">
        <f>SUM(C252:C283)</f>
        <v>180</v>
      </c>
      <c r="D284" s="177"/>
      <c r="E284" s="177"/>
      <c r="F284" s="169">
        <f>SUM(F252:F283)</f>
        <v>305694.5</v>
      </c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69">
        <f>SUM(W252:W283)</f>
        <v>0</v>
      </c>
      <c r="X284" s="169">
        <f>SUM(X252:X283)</f>
        <v>305694.5</v>
      </c>
      <c r="Y284" s="169">
        <f>SUM(Y252:Y283)</f>
        <v>2445556</v>
      </c>
    </row>
    <row r="285" spans="1:25" ht="20.100000000000001" customHeight="1" x14ac:dyDescent="0.25">
      <c r="A285" s="174" t="s">
        <v>220</v>
      </c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6"/>
      <c r="Y285" s="163"/>
    </row>
    <row r="286" spans="1:25" ht="20.100000000000001" customHeight="1" x14ac:dyDescent="0.25">
      <c r="A286" s="163">
        <v>1</v>
      </c>
      <c r="B286" s="164" t="s">
        <v>221</v>
      </c>
      <c r="C286" s="166">
        <v>1</v>
      </c>
      <c r="D286" s="166">
        <v>11</v>
      </c>
      <c r="E286" s="137">
        <v>2334</v>
      </c>
      <c r="F286" s="138">
        <f t="shared" ref="F286:F293" si="77">E286*C286</f>
        <v>2334</v>
      </c>
      <c r="G286" s="138"/>
      <c r="H286" s="139"/>
      <c r="I286" s="13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139">
        <f t="shared" ref="W286:W294" si="78">SUM(H286:V286)</f>
        <v>0</v>
      </c>
      <c r="X286" s="138">
        <f t="shared" ref="X286:X294" si="79">C286*E286+W286</f>
        <v>2334</v>
      </c>
      <c r="Y286" s="186">
        <f>X286*8</f>
        <v>18672</v>
      </c>
    </row>
    <row r="287" spans="1:25" ht="20.100000000000001" customHeight="1" x14ac:dyDescent="0.25">
      <c r="A287" s="163">
        <v>2</v>
      </c>
      <c r="B287" s="164" t="s">
        <v>99</v>
      </c>
      <c r="C287" s="166">
        <v>4</v>
      </c>
      <c r="D287" s="166">
        <v>9</v>
      </c>
      <c r="E287" s="137">
        <v>2050</v>
      </c>
      <c r="F287" s="138">
        <f t="shared" si="77"/>
        <v>8200</v>
      </c>
      <c r="G287" s="138"/>
      <c r="H287" s="139"/>
      <c r="I287" s="13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139">
        <f t="shared" si="78"/>
        <v>0</v>
      </c>
      <c r="X287" s="138">
        <f t="shared" si="79"/>
        <v>8200</v>
      </c>
      <c r="Y287" s="186">
        <f t="shared" ref="Y287:Y295" si="80">X287*8</f>
        <v>65600</v>
      </c>
    </row>
    <row r="288" spans="1:25" ht="20.100000000000001" customHeight="1" x14ac:dyDescent="0.25">
      <c r="A288" s="163">
        <v>3</v>
      </c>
      <c r="B288" s="164" t="s">
        <v>101</v>
      </c>
      <c r="C288" s="166">
        <v>1</v>
      </c>
      <c r="D288" s="166">
        <v>7</v>
      </c>
      <c r="E288" s="137">
        <v>1825</v>
      </c>
      <c r="F288" s="138">
        <f>E288*C288</f>
        <v>1825</v>
      </c>
      <c r="G288" s="138"/>
      <c r="H288" s="139"/>
      <c r="I288" s="13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139">
        <f t="shared" si="78"/>
        <v>0</v>
      </c>
      <c r="X288" s="138">
        <f t="shared" si="79"/>
        <v>1825</v>
      </c>
      <c r="Y288" s="186">
        <f t="shared" si="80"/>
        <v>14600</v>
      </c>
    </row>
    <row r="289" spans="1:29" ht="20.100000000000001" customHeight="1" x14ac:dyDescent="0.25">
      <c r="A289" s="163">
        <v>4</v>
      </c>
      <c r="B289" s="164" t="s">
        <v>102</v>
      </c>
      <c r="C289" s="166">
        <v>4</v>
      </c>
      <c r="D289" s="166">
        <v>7</v>
      </c>
      <c r="E289" s="137">
        <v>1825</v>
      </c>
      <c r="F289" s="138">
        <f t="shared" si="77"/>
        <v>7300</v>
      </c>
      <c r="G289" s="138"/>
      <c r="H289" s="139"/>
      <c r="I289" s="13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139">
        <f t="shared" si="78"/>
        <v>0</v>
      </c>
      <c r="X289" s="138">
        <f t="shared" si="79"/>
        <v>7300</v>
      </c>
      <c r="Y289" s="186">
        <f t="shared" si="80"/>
        <v>58400</v>
      </c>
    </row>
    <row r="290" spans="1:29" ht="20.100000000000001" customHeight="1" x14ac:dyDescent="0.25">
      <c r="A290" s="163">
        <v>5</v>
      </c>
      <c r="B290" s="164" t="s">
        <v>222</v>
      </c>
      <c r="C290" s="166">
        <v>16</v>
      </c>
      <c r="D290" s="166">
        <v>5</v>
      </c>
      <c r="E290" s="137">
        <v>1612</v>
      </c>
      <c r="F290" s="138">
        <f t="shared" si="77"/>
        <v>25792</v>
      </c>
      <c r="G290" s="138"/>
      <c r="H290" s="139"/>
      <c r="I290" s="13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139">
        <f t="shared" si="78"/>
        <v>0</v>
      </c>
      <c r="X290" s="138">
        <f t="shared" si="79"/>
        <v>25792</v>
      </c>
      <c r="Y290" s="186">
        <f t="shared" si="80"/>
        <v>206336</v>
      </c>
    </row>
    <row r="291" spans="1:29" ht="20.100000000000001" customHeight="1" x14ac:dyDescent="0.25">
      <c r="A291" s="163">
        <v>6</v>
      </c>
      <c r="B291" s="164" t="s">
        <v>190</v>
      </c>
      <c r="C291" s="166">
        <f>1+2</f>
        <v>3</v>
      </c>
      <c r="D291" s="166">
        <v>4</v>
      </c>
      <c r="E291" s="137">
        <v>1543</v>
      </c>
      <c r="F291" s="138">
        <f t="shared" si="77"/>
        <v>4629</v>
      </c>
      <c r="G291" s="138"/>
      <c r="H291" s="139"/>
      <c r="I291" s="13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139">
        <f t="shared" si="78"/>
        <v>0</v>
      </c>
      <c r="X291" s="138">
        <f t="shared" si="79"/>
        <v>4629</v>
      </c>
      <c r="Y291" s="186">
        <f t="shared" si="80"/>
        <v>37032</v>
      </c>
    </row>
    <row r="292" spans="1:29" ht="20.100000000000001" customHeight="1" x14ac:dyDescent="0.25">
      <c r="A292" s="163">
        <v>7</v>
      </c>
      <c r="B292" s="164" t="s">
        <v>223</v>
      </c>
      <c r="C292" s="166">
        <v>1</v>
      </c>
      <c r="D292" s="166">
        <v>3</v>
      </c>
      <c r="E292" s="137">
        <v>1532</v>
      </c>
      <c r="F292" s="138">
        <f>E292*C292</f>
        <v>1532</v>
      </c>
      <c r="G292" s="138"/>
      <c r="H292" s="139"/>
      <c r="I292" s="13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139">
        <f>SUM(H292:V292)</f>
        <v>0</v>
      </c>
      <c r="X292" s="138">
        <f t="shared" si="79"/>
        <v>1532</v>
      </c>
      <c r="Y292" s="186">
        <f t="shared" si="80"/>
        <v>12256</v>
      </c>
    </row>
    <row r="293" spans="1:29" ht="20.100000000000001" customHeight="1" x14ac:dyDescent="0.25">
      <c r="A293" s="163">
        <v>8</v>
      </c>
      <c r="B293" s="164" t="s">
        <v>224</v>
      </c>
      <c r="C293" s="166">
        <v>1</v>
      </c>
      <c r="D293" s="166">
        <v>2</v>
      </c>
      <c r="E293" s="137">
        <v>1521</v>
      </c>
      <c r="F293" s="138">
        <f t="shared" si="77"/>
        <v>1521</v>
      </c>
      <c r="G293" s="138"/>
      <c r="H293" s="139"/>
      <c r="I293" s="13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139">
        <f t="shared" si="78"/>
        <v>0</v>
      </c>
      <c r="X293" s="138">
        <f t="shared" si="79"/>
        <v>1521</v>
      </c>
      <c r="Y293" s="186">
        <f t="shared" si="80"/>
        <v>12168</v>
      </c>
    </row>
    <row r="294" spans="1:29" ht="20.100000000000001" customHeight="1" x14ac:dyDescent="0.25">
      <c r="A294" s="163">
        <v>9</v>
      </c>
      <c r="B294" s="164" t="s">
        <v>225</v>
      </c>
      <c r="C294" s="166">
        <f>0.5+1</f>
        <v>1.5</v>
      </c>
      <c r="D294" s="166">
        <v>5</v>
      </c>
      <c r="E294" s="137">
        <v>1612</v>
      </c>
      <c r="F294" s="138">
        <f>E294*C294</f>
        <v>2418</v>
      </c>
      <c r="G294" s="138"/>
      <c r="H294" s="139"/>
      <c r="I294" s="13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139">
        <f t="shared" si="78"/>
        <v>0</v>
      </c>
      <c r="X294" s="138">
        <f t="shared" si="79"/>
        <v>2418</v>
      </c>
      <c r="Y294" s="186">
        <f t="shared" si="80"/>
        <v>19344</v>
      </c>
    </row>
    <row r="295" spans="1:29" ht="20.100000000000001" customHeight="1" x14ac:dyDescent="0.25">
      <c r="A295" s="163">
        <v>10</v>
      </c>
      <c r="B295" s="164" t="s">
        <v>226</v>
      </c>
      <c r="C295" s="166">
        <v>1</v>
      </c>
      <c r="D295" s="166">
        <v>3</v>
      </c>
      <c r="E295" s="137">
        <v>1532</v>
      </c>
      <c r="F295" s="138">
        <f>E295*C295</f>
        <v>1532</v>
      </c>
      <c r="G295" s="138"/>
      <c r="H295" s="139"/>
      <c r="I295" s="13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139">
        <f>SUM(H295:V295)</f>
        <v>0</v>
      </c>
      <c r="X295" s="138">
        <f>C295*E295+W295</f>
        <v>1532</v>
      </c>
      <c r="Y295" s="186">
        <f t="shared" si="80"/>
        <v>12256</v>
      </c>
    </row>
    <row r="296" spans="1:29" ht="20.100000000000001" customHeight="1" x14ac:dyDescent="0.25">
      <c r="A296" s="163"/>
      <c r="B296" s="164"/>
      <c r="C296" s="189">
        <f>SUM(C286:C295)</f>
        <v>33.5</v>
      </c>
      <c r="D296" s="189"/>
      <c r="E296" s="189"/>
      <c r="F296" s="190">
        <f>SUM(F286:F295)</f>
        <v>57083</v>
      </c>
      <c r="G296" s="190">
        <f t="shared" ref="G296:Y296" si="81">SUM(G286:G295)</f>
        <v>0</v>
      </c>
      <c r="H296" s="190">
        <f t="shared" si="81"/>
        <v>0</v>
      </c>
      <c r="I296" s="190">
        <f t="shared" si="81"/>
        <v>0</v>
      </c>
      <c r="J296" s="190">
        <f t="shared" si="81"/>
        <v>0</v>
      </c>
      <c r="K296" s="190">
        <f t="shared" si="81"/>
        <v>0</v>
      </c>
      <c r="L296" s="190">
        <f t="shared" si="81"/>
        <v>0</v>
      </c>
      <c r="M296" s="190">
        <f t="shared" si="81"/>
        <v>0</v>
      </c>
      <c r="N296" s="190">
        <f t="shared" si="81"/>
        <v>0</v>
      </c>
      <c r="O296" s="190">
        <f t="shared" si="81"/>
        <v>0</v>
      </c>
      <c r="P296" s="190">
        <f t="shared" si="81"/>
        <v>0</v>
      </c>
      <c r="Q296" s="190">
        <f t="shared" si="81"/>
        <v>0</v>
      </c>
      <c r="R296" s="190">
        <f t="shared" si="81"/>
        <v>0</v>
      </c>
      <c r="S296" s="190">
        <f t="shared" si="81"/>
        <v>0</v>
      </c>
      <c r="T296" s="190">
        <f t="shared" si="81"/>
        <v>0</v>
      </c>
      <c r="U296" s="190">
        <f t="shared" si="81"/>
        <v>0</v>
      </c>
      <c r="V296" s="190">
        <f t="shared" si="81"/>
        <v>0</v>
      </c>
      <c r="W296" s="190">
        <f t="shared" si="81"/>
        <v>0</v>
      </c>
      <c r="X296" s="190">
        <f t="shared" si="81"/>
        <v>57083</v>
      </c>
      <c r="Y296" s="190">
        <f t="shared" si="81"/>
        <v>456664</v>
      </c>
      <c r="Z296" s="190">
        <f>SUM(Z286:Z294)</f>
        <v>0</v>
      </c>
      <c r="AA296" s="190">
        <f>SUM(AA286:AA294)</f>
        <v>0</v>
      </c>
      <c r="AB296" s="190">
        <f>SUM(AB286:AB294)</f>
        <v>0</v>
      </c>
      <c r="AC296" s="190">
        <f>SUM(AC286:AC294)</f>
        <v>0</v>
      </c>
    </row>
    <row r="297" spans="1:29" ht="20.100000000000001" customHeight="1" x14ac:dyDescent="0.25">
      <c r="A297" s="174" t="s">
        <v>227</v>
      </c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6"/>
    </row>
    <row r="298" spans="1:29" ht="20.100000000000001" customHeight="1" x14ac:dyDescent="0.25">
      <c r="A298" s="163">
        <v>1</v>
      </c>
      <c r="B298" s="164" t="s">
        <v>132</v>
      </c>
      <c r="C298" s="163">
        <v>1</v>
      </c>
      <c r="D298" s="163">
        <v>11</v>
      </c>
      <c r="E298" s="134">
        <v>2334</v>
      </c>
      <c r="F298" s="183">
        <f>E298*C298</f>
        <v>2334</v>
      </c>
      <c r="G298" s="183"/>
      <c r="H298" s="139"/>
      <c r="I298" s="59">
        <f>ROUNDUP(F298*20%,0)</f>
        <v>467</v>
      </c>
      <c r="J298" s="59"/>
      <c r="K298" s="59"/>
      <c r="L298" s="59"/>
      <c r="M298" s="59"/>
      <c r="N298" s="59">
        <f>ROUNDUP(F298*30%,0)</f>
        <v>701</v>
      </c>
      <c r="O298" s="59"/>
      <c r="P298" s="59"/>
      <c r="Q298" s="59"/>
      <c r="R298" s="59"/>
      <c r="S298" s="59"/>
      <c r="T298" s="59"/>
      <c r="U298" s="59"/>
      <c r="V298" s="59"/>
      <c r="W298" s="59">
        <f t="shared" ref="W298:W303" si="82">SUM(H298:V298)</f>
        <v>1168</v>
      </c>
      <c r="X298" s="138">
        <f>C298*E298+W298</f>
        <v>3502</v>
      </c>
      <c r="Y298" s="165">
        <f>X298*8</f>
        <v>28016</v>
      </c>
    </row>
    <row r="299" spans="1:29" ht="20.100000000000001" customHeight="1" x14ac:dyDescent="0.25">
      <c r="A299" s="163">
        <v>2</v>
      </c>
      <c r="B299" s="164" t="s">
        <v>104</v>
      </c>
      <c r="C299" s="163">
        <v>1</v>
      </c>
      <c r="D299" s="163">
        <v>11</v>
      </c>
      <c r="E299" s="134">
        <v>2334</v>
      </c>
      <c r="F299" s="183">
        <f>E299*C299</f>
        <v>2334</v>
      </c>
      <c r="G299" s="183"/>
      <c r="H299" s="139"/>
      <c r="I299" s="59">
        <f>ROUNDUP(F299*20%,0)</f>
        <v>467</v>
      </c>
      <c r="J299" s="59"/>
      <c r="K299" s="59"/>
      <c r="L299" s="59"/>
      <c r="M299" s="59"/>
      <c r="N299" s="59">
        <f>ROUNDUP(F299*30%,0)</f>
        <v>701</v>
      </c>
      <c r="O299" s="59"/>
      <c r="P299" s="59"/>
      <c r="Q299" s="59"/>
      <c r="R299" s="59"/>
      <c r="S299" s="59"/>
      <c r="T299" s="59"/>
      <c r="U299" s="59"/>
      <c r="V299" s="59"/>
      <c r="W299" s="59">
        <f t="shared" si="82"/>
        <v>1168</v>
      </c>
      <c r="X299" s="138">
        <f>C299*E299+W299</f>
        <v>3502</v>
      </c>
      <c r="Y299" s="165">
        <f>X299*8</f>
        <v>28016</v>
      </c>
    </row>
    <row r="300" spans="1:29" ht="20.100000000000001" customHeight="1" x14ac:dyDescent="0.25">
      <c r="A300" s="163">
        <v>3</v>
      </c>
      <c r="B300" s="164" t="s">
        <v>102</v>
      </c>
      <c r="C300" s="163">
        <f>7+2</f>
        <v>9</v>
      </c>
      <c r="D300" s="163">
        <v>7</v>
      </c>
      <c r="E300" s="134">
        <v>1825</v>
      </c>
      <c r="F300" s="183">
        <f>E300*C300</f>
        <v>16425</v>
      </c>
      <c r="G300" s="183"/>
      <c r="H300" s="139"/>
      <c r="I300" s="13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>
        <f t="shared" si="82"/>
        <v>0</v>
      </c>
      <c r="X300" s="138">
        <f>C300*E300+W300</f>
        <v>16425</v>
      </c>
      <c r="Y300" s="165">
        <f>X300*8</f>
        <v>131400</v>
      </c>
    </row>
    <row r="301" spans="1:29" ht="20.100000000000001" customHeight="1" x14ac:dyDescent="0.25">
      <c r="A301" s="163">
        <v>4</v>
      </c>
      <c r="B301" s="164" t="s">
        <v>99</v>
      </c>
      <c r="C301" s="163">
        <f>4+2</f>
        <v>6</v>
      </c>
      <c r="D301" s="163">
        <v>9</v>
      </c>
      <c r="E301" s="134">
        <v>2050</v>
      </c>
      <c r="F301" s="183">
        <f>E301*C301</f>
        <v>12300</v>
      </c>
      <c r="G301" s="183"/>
      <c r="H301" s="139"/>
      <c r="I301" s="13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>
        <f t="shared" si="82"/>
        <v>0</v>
      </c>
      <c r="X301" s="138">
        <f>C301*E301+W301</f>
        <v>12300</v>
      </c>
      <c r="Y301" s="165">
        <f>X301*8</f>
        <v>98400</v>
      </c>
    </row>
    <row r="302" spans="1:29" ht="20.100000000000001" customHeight="1" x14ac:dyDescent="0.25">
      <c r="A302" s="163">
        <v>5</v>
      </c>
      <c r="B302" s="164" t="s">
        <v>119</v>
      </c>
      <c r="C302" s="163">
        <v>1</v>
      </c>
      <c r="D302" s="163">
        <v>7</v>
      </c>
      <c r="E302" s="134">
        <v>1825</v>
      </c>
      <c r="F302" s="183">
        <f>E302*C302</f>
        <v>1825</v>
      </c>
      <c r="G302" s="183"/>
      <c r="H302" s="139"/>
      <c r="I302" s="13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>
        <f t="shared" si="82"/>
        <v>0</v>
      </c>
      <c r="X302" s="138">
        <f>C302*E302+W302</f>
        <v>1825</v>
      </c>
      <c r="Y302" s="165">
        <f>X302*8</f>
        <v>14600</v>
      </c>
    </row>
    <row r="303" spans="1:29" ht="20.100000000000001" customHeight="1" x14ac:dyDescent="0.25">
      <c r="A303" s="163"/>
      <c r="B303" s="164"/>
      <c r="C303" s="189">
        <f>SUM(C298:C302)</f>
        <v>18</v>
      </c>
      <c r="D303" s="189"/>
      <c r="E303" s="134"/>
      <c r="F303" s="201">
        <f>SUM(F298:F302)</f>
        <v>35218</v>
      </c>
      <c r="G303" s="201"/>
      <c r="H303" s="201">
        <f t="shared" ref="H303:V303" si="83">SUM(H298:H302)</f>
        <v>0</v>
      </c>
      <c r="I303" s="227">
        <f t="shared" si="83"/>
        <v>934</v>
      </c>
      <c r="J303" s="201">
        <f t="shared" si="83"/>
        <v>0</v>
      </c>
      <c r="K303" s="201">
        <f t="shared" si="83"/>
        <v>0</v>
      </c>
      <c r="L303" s="201">
        <f t="shared" si="83"/>
        <v>0</v>
      </c>
      <c r="M303" s="201">
        <f t="shared" si="83"/>
        <v>0</v>
      </c>
      <c r="N303" s="201">
        <f t="shared" si="83"/>
        <v>1402</v>
      </c>
      <c r="O303" s="201">
        <f t="shared" si="83"/>
        <v>0</v>
      </c>
      <c r="P303" s="201">
        <f t="shared" si="83"/>
        <v>0</v>
      </c>
      <c r="Q303" s="201">
        <f t="shared" si="83"/>
        <v>0</v>
      </c>
      <c r="R303" s="201">
        <f t="shared" si="83"/>
        <v>0</v>
      </c>
      <c r="S303" s="201">
        <f t="shared" si="83"/>
        <v>0</v>
      </c>
      <c r="T303" s="201">
        <f t="shared" si="83"/>
        <v>0</v>
      </c>
      <c r="U303" s="228">
        <f t="shared" si="83"/>
        <v>0</v>
      </c>
      <c r="V303" s="201">
        <f t="shared" si="83"/>
        <v>0</v>
      </c>
      <c r="W303" s="184">
        <f t="shared" si="82"/>
        <v>2336</v>
      </c>
      <c r="X303" s="143">
        <f>SUM(X298:X302)</f>
        <v>37554</v>
      </c>
      <c r="Y303" s="143">
        <f>SUM(Y298:Y302)</f>
        <v>300432</v>
      </c>
    </row>
    <row r="304" spans="1:29" ht="18" customHeight="1" x14ac:dyDescent="0.25">
      <c r="A304" s="174" t="s">
        <v>228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6"/>
      <c r="Y304" s="163"/>
    </row>
    <row r="305" spans="1:25" ht="19.5" customHeight="1" x14ac:dyDescent="0.25">
      <c r="A305" s="163">
        <v>1</v>
      </c>
      <c r="B305" s="164" t="s">
        <v>229</v>
      </c>
      <c r="C305" s="166">
        <v>1</v>
      </c>
      <c r="D305" s="166">
        <v>15</v>
      </c>
      <c r="E305" s="137">
        <v>3057</v>
      </c>
      <c r="F305" s="138">
        <f t="shared" ref="F305:F317" si="84">E305*C305</f>
        <v>3057</v>
      </c>
      <c r="G305" s="138"/>
      <c r="H305" s="167">
        <f>ROUNDUP(F305*50%,0)</f>
        <v>1529</v>
      </c>
      <c r="I305" s="167"/>
      <c r="J305" s="59"/>
      <c r="K305" s="59"/>
      <c r="L305" s="59"/>
      <c r="M305" s="59"/>
      <c r="N305" s="167">
        <f>ROUNDUP(F305*30%,0)</f>
        <v>918</v>
      </c>
      <c r="O305" s="59"/>
      <c r="P305" s="59"/>
      <c r="Q305" s="167">
        <f>ROUNDUP(F305*25%,0)</f>
        <v>765</v>
      </c>
      <c r="R305" s="59"/>
      <c r="S305" s="167">
        <f>ROUNDUP(F305*15%,0)</f>
        <v>459</v>
      </c>
      <c r="T305" s="59"/>
      <c r="U305" s="59"/>
      <c r="V305" s="59"/>
      <c r="W305" s="59">
        <f t="shared" ref="W305:W317" si="85">SUM(H305:V305)</f>
        <v>3671</v>
      </c>
      <c r="X305" s="138">
        <f t="shared" ref="X305:X317" si="86">C305*E305+W305</f>
        <v>6728</v>
      </c>
      <c r="Y305" s="186">
        <f>X305*8</f>
        <v>53824</v>
      </c>
    </row>
    <row r="306" spans="1:25" ht="23.1" customHeight="1" x14ac:dyDescent="0.25">
      <c r="A306" s="163">
        <v>2</v>
      </c>
      <c r="B306" s="164" t="s">
        <v>230</v>
      </c>
      <c r="C306" s="166">
        <v>3</v>
      </c>
      <c r="D306" s="166"/>
      <c r="E306" s="137">
        <v>2904</v>
      </c>
      <c r="F306" s="138">
        <f t="shared" si="84"/>
        <v>8712</v>
      </c>
      <c r="G306" s="138"/>
      <c r="H306" s="167">
        <f t="shared" ref="H306:H317" si="87">ROUNDUP(F306*50%,0)</f>
        <v>4356</v>
      </c>
      <c r="I306" s="167"/>
      <c r="J306" s="59"/>
      <c r="K306" s="59"/>
      <c r="L306" s="59"/>
      <c r="M306" s="59"/>
      <c r="N306" s="167">
        <f t="shared" ref="N306:N317" si="88">ROUNDUP(F306*30%,0)</f>
        <v>2614</v>
      </c>
      <c r="O306" s="59"/>
      <c r="P306" s="59"/>
      <c r="Q306" s="167"/>
      <c r="R306" s="59"/>
      <c r="S306" s="167"/>
      <c r="T306" s="59"/>
      <c r="U306" s="59"/>
      <c r="V306" s="59"/>
      <c r="W306" s="59">
        <f t="shared" si="85"/>
        <v>6970</v>
      </c>
      <c r="X306" s="138">
        <f t="shared" si="86"/>
        <v>15682</v>
      </c>
      <c r="Y306" s="186">
        <f t="shared" ref="Y306:Y318" si="89">X306*8</f>
        <v>125456</v>
      </c>
    </row>
    <row r="307" spans="1:25" ht="23.1" customHeight="1" x14ac:dyDescent="0.25">
      <c r="A307" s="163">
        <v>3</v>
      </c>
      <c r="B307" s="164" t="s">
        <v>231</v>
      </c>
      <c r="C307" s="166">
        <v>1</v>
      </c>
      <c r="D307" s="166">
        <v>14</v>
      </c>
      <c r="E307" s="137">
        <v>2868</v>
      </c>
      <c r="F307" s="138">
        <f t="shared" si="84"/>
        <v>2868</v>
      </c>
      <c r="G307" s="138"/>
      <c r="H307" s="167">
        <f t="shared" si="87"/>
        <v>1434</v>
      </c>
      <c r="I307" s="167"/>
      <c r="J307" s="59"/>
      <c r="K307" s="59"/>
      <c r="L307" s="59"/>
      <c r="M307" s="59"/>
      <c r="N307" s="167">
        <f t="shared" si="88"/>
        <v>861</v>
      </c>
      <c r="O307" s="59"/>
      <c r="P307" s="59"/>
      <c r="Q307" s="167"/>
      <c r="R307" s="59"/>
      <c r="S307" s="167"/>
      <c r="T307" s="59"/>
      <c r="U307" s="59"/>
      <c r="V307" s="59"/>
      <c r="W307" s="59">
        <f t="shared" si="85"/>
        <v>2295</v>
      </c>
      <c r="X307" s="138">
        <f t="shared" si="86"/>
        <v>5163</v>
      </c>
      <c r="Y307" s="186">
        <f t="shared" si="89"/>
        <v>41304</v>
      </c>
    </row>
    <row r="308" spans="1:25" ht="23.1" customHeight="1" x14ac:dyDescent="0.25">
      <c r="A308" s="163">
        <v>3</v>
      </c>
      <c r="B308" s="164" t="s">
        <v>232</v>
      </c>
      <c r="C308" s="166">
        <f>9+2</f>
        <v>11</v>
      </c>
      <c r="D308" s="166">
        <v>13</v>
      </c>
      <c r="E308" s="137">
        <v>2690</v>
      </c>
      <c r="F308" s="138">
        <f t="shared" si="84"/>
        <v>29590</v>
      </c>
      <c r="G308" s="138"/>
      <c r="H308" s="167">
        <f t="shared" si="87"/>
        <v>14795</v>
      </c>
      <c r="I308" s="167"/>
      <c r="J308" s="59"/>
      <c r="K308" s="59"/>
      <c r="L308" s="59"/>
      <c r="M308" s="59"/>
      <c r="N308" s="167">
        <f t="shared" si="88"/>
        <v>8877</v>
      </c>
      <c r="O308" s="59"/>
      <c r="P308" s="59"/>
      <c r="Q308" s="167"/>
      <c r="R308" s="59"/>
      <c r="S308" s="167"/>
      <c r="T308" s="59"/>
      <c r="U308" s="59"/>
      <c r="V308" s="59"/>
      <c r="W308" s="59">
        <f t="shared" si="85"/>
        <v>23672</v>
      </c>
      <c r="X308" s="138">
        <f t="shared" si="86"/>
        <v>53262</v>
      </c>
      <c r="Y308" s="186">
        <f t="shared" si="89"/>
        <v>426096</v>
      </c>
    </row>
    <row r="309" spans="1:25" ht="23.1" customHeight="1" x14ac:dyDescent="0.25">
      <c r="A309" s="163">
        <v>4</v>
      </c>
      <c r="B309" s="164" t="s">
        <v>233</v>
      </c>
      <c r="C309" s="166">
        <f>14-0.5-3+1+3.5</f>
        <v>15</v>
      </c>
      <c r="D309" s="166">
        <v>12</v>
      </c>
      <c r="E309" s="137">
        <v>2512</v>
      </c>
      <c r="F309" s="138">
        <f t="shared" si="84"/>
        <v>37680</v>
      </c>
      <c r="G309" s="138"/>
      <c r="H309" s="167">
        <f t="shared" si="87"/>
        <v>18840</v>
      </c>
      <c r="I309" s="167"/>
      <c r="J309" s="59"/>
      <c r="K309" s="59"/>
      <c r="L309" s="59"/>
      <c r="M309" s="59"/>
      <c r="N309" s="167">
        <f t="shared" si="88"/>
        <v>11304</v>
      </c>
      <c r="O309" s="59"/>
      <c r="P309" s="59"/>
      <c r="Q309" s="59"/>
      <c r="R309" s="59"/>
      <c r="S309" s="59"/>
      <c r="T309" s="59"/>
      <c r="U309" s="59"/>
      <c r="V309" s="59"/>
      <c r="W309" s="59">
        <f t="shared" si="85"/>
        <v>30144</v>
      </c>
      <c r="X309" s="138">
        <f t="shared" si="86"/>
        <v>67824</v>
      </c>
      <c r="Y309" s="186">
        <f t="shared" si="89"/>
        <v>542592</v>
      </c>
    </row>
    <row r="310" spans="1:25" ht="23.1" customHeight="1" x14ac:dyDescent="0.25">
      <c r="A310" s="163">
        <v>5</v>
      </c>
      <c r="B310" s="164" t="s">
        <v>234</v>
      </c>
      <c r="C310" s="166">
        <v>3</v>
      </c>
      <c r="D310" s="166">
        <v>12</v>
      </c>
      <c r="E310" s="137">
        <v>2512</v>
      </c>
      <c r="F310" s="138">
        <f t="shared" si="84"/>
        <v>7536</v>
      </c>
      <c r="G310" s="138"/>
      <c r="H310" s="167">
        <f t="shared" si="87"/>
        <v>3768</v>
      </c>
      <c r="I310" s="167"/>
      <c r="J310" s="59"/>
      <c r="K310" s="59"/>
      <c r="L310" s="59"/>
      <c r="M310" s="59"/>
      <c r="N310" s="167">
        <f t="shared" si="88"/>
        <v>2261</v>
      </c>
      <c r="O310" s="59"/>
      <c r="P310" s="59"/>
      <c r="Q310" s="59"/>
      <c r="R310" s="59"/>
      <c r="S310" s="59"/>
      <c r="T310" s="59"/>
      <c r="U310" s="59"/>
      <c r="V310" s="59"/>
      <c r="W310" s="59">
        <f t="shared" si="85"/>
        <v>6029</v>
      </c>
      <c r="X310" s="138">
        <f t="shared" si="86"/>
        <v>13565</v>
      </c>
      <c r="Y310" s="186">
        <f t="shared" si="89"/>
        <v>108520</v>
      </c>
    </row>
    <row r="311" spans="1:25" ht="23.1" customHeight="1" x14ac:dyDescent="0.25">
      <c r="A311" s="163">
        <v>6</v>
      </c>
      <c r="B311" s="164" t="s">
        <v>235</v>
      </c>
      <c r="C311" s="166">
        <v>1</v>
      </c>
      <c r="D311" s="166">
        <v>12</v>
      </c>
      <c r="E311" s="137">
        <v>2512</v>
      </c>
      <c r="F311" s="138">
        <f t="shared" si="84"/>
        <v>2512</v>
      </c>
      <c r="G311" s="138"/>
      <c r="H311" s="167">
        <f t="shared" si="87"/>
        <v>1256</v>
      </c>
      <c r="I311" s="167"/>
      <c r="J311" s="59"/>
      <c r="K311" s="59"/>
      <c r="L311" s="59"/>
      <c r="M311" s="59"/>
      <c r="N311" s="167">
        <f t="shared" si="88"/>
        <v>754</v>
      </c>
      <c r="O311" s="59"/>
      <c r="P311" s="59"/>
      <c r="Q311" s="59"/>
      <c r="R311" s="59"/>
      <c r="S311" s="59"/>
      <c r="T311" s="59"/>
      <c r="U311" s="59"/>
      <c r="V311" s="59"/>
      <c r="W311" s="59">
        <f t="shared" si="85"/>
        <v>2010</v>
      </c>
      <c r="X311" s="138">
        <f t="shared" si="86"/>
        <v>4522</v>
      </c>
      <c r="Y311" s="186">
        <f t="shared" si="89"/>
        <v>36176</v>
      </c>
    </row>
    <row r="312" spans="1:25" ht="23.1" customHeight="1" x14ac:dyDescent="0.25">
      <c r="A312" s="163">
        <v>7</v>
      </c>
      <c r="B312" s="164" t="s">
        <v>236</v>
      </c>
      <c r="C312" s="166">
        <f>12-1-4+0.5</f>
        <v>7.5</v>
      </c>
      <c r="D312" s="166">
        <v>10</v>
      </c>
      <c r="E312" s="137">
        <v>2157</v>
      </c>
      <c r="F312" s="138">
        <f>E312*C312</f>
        <v>16177.5</v>
      </c>
      <c r="G312" s="138"/>
      <c r="H312" s="167">
        <f>ROUNDUP(F312*50%,0)</f>
        <v>8089</v>
      </c>
      <c r="I312" s="167"/>
      <c r="J312" s="59"/>
      <c r="K312" s="59"/>
      <c r="L312" s="59"/>
      <c r="M312" s="59"/>
      <c r="N312" s="167">
        <f t="shared" si="88"/>
        <v>4854</v>
      </c>
      <c r="O312" s="59"/>
      <c r="P312" s="59"/>
      <c r="Q312" s="59"/>
      <c r="R312" s="59"/>
      <c r="S312" s="59"/>
      <c r="T312" s="59"/>
      <c r="U312" s="59"/>
      <c r="V312" s="59"/>
      <c r="W312" s="59">
        <f t="shared" si="85"/>
        <v>12943</v>
      </c>
      <c r="X312" s="138">
        <f t="shared" si="86"/>
        <v>29120.5</v>
      </c>
      <c r="Y312" s="186">
        <f t="shared" si="89"/>
        <v>232964</v>
      </c>
    </row>
    <row r="313" spans="1:25" ht="23.1" customHeight="1" x14ac:dyDescent="0.25">
      <c r="A313" s="163">
        <v>8</v>
      </c>
      <c r="B313" s="164" t="s">
        <v>237</v>
      </c>
      <c r="C313" s="166">
        <v>3</v>
      </c>
      <c r="D313" s="166">
        <v>10</v>
      </c>
      <c r="E313" s="137">
        <v>2157</v>
      </c>
      <c r="F313" s="138">
        <f t="shared" si="84"/>
        <v>6471</v>
      </c>
      <c r="G313" s="138"/>
      <c r="H313" s="167">
        <f t="shared" si="87"/>
        <v>3236</v>
      </c>
      <c r="I313" s="167"/>
      <c r="J313" s="59"/>
      <c r="K313" s="59"/>
      <c r="L313" s="59"/>
      <c r="M313" s="59"/>
      <c r="N313" s="167">
        <f t="shared" si="88"/>
        <v>1942</v>
      </c>
      <c r="O313" s="59"/>
      <c r="P313" s="59"/>
      <c r="Q313" s="59"/>
      <c r="R313" s="59"/>
      <c r="S313" s="59"/>
      <c r="T313" s="59"/>
      <c r="U313" s="59"/>
      <c r="V313" s="59"/>
      <c r="W313" s="59">
        <f t="shared" si="85"/>
        <v>5178</v>
      </c>
      <c r="X313" s="138">
        <f t="shared" si="86"/>
        <v>11649</v>
      </c>
      <c r="Y313" s="186">
        <f t="shared" si="89"/>
        <v>93192</v>
      </c>
    </row>
    <row r="314" spans="1:25" ht="23.1" customHeight="1" x14ac:dyDescent="0.25">
      <c r="A314" s="163">
        <v>9</v>
      </c>
      <c r="B314" s="164" t="s">
        <v>238</v>
      </c>
      <c r="C314" s="166">
        <f>24.5-13.5+3-9</f>
        <v>5</v>
      </c>
      <c r="D314" s="166">
        <v>9</v>
      </c>
      <c r="E314" s="137">
        <v>2050</v>
      </c>
      <c r="F314" s="138">
        <f t="shared" si="84"/>
        <v>10250</v>
      </c>
      <c r="G314" s="138"/>
      <c r="H314" s="167">
        <f t="shared" si="87"/>
        <v>5125</v>
      </c>
      <c r="I314" s="167"/>
      <c r="J314" s="59"/>
      <c r="K314" s="59"/>
      <c r="L314" s="59"/>
      <c r="M314" s="59"/>
      <c r="N314" s="167">
        <f t="shared" si="88"/>
        <v>3075</v>
      </c>
      <c r="O314" s="59"/>
      <c r="P314" s="59"/>
      <c r="Q314" s="59"/>
      <c r="R314" s="59"/>
      <c r="S314" s="59"/>
      <c r="T314" s="59"/>
      <c r="U314" s="59"/>
      <c r="V314" s="59"/>
      <c r="W314" s="59">
        <f t="shared" si="85"/>
        <v>8200</v>
      </c>
      <c r="X314" s="138">
        <f t="shared" si="86"/>
        <v>18450</v>
      </c>
      <c r="Y314" s="186">
        <f t="shared" si="89"/>
        <v>147600</v>
      </c>
    </row>
    <row r="315" spans="1:25" ht="23.1" customHeight="1" x14ac:dyDescent="0.25">
      <c r="A315" s="163">
        <v>10</v>
      </c>
      <c r="B315" s="164" t="s">
        <v>239</v>
      </c>
      <c r="C315" s="166">
        <v>2</v>
      </c>
      <c r="D315" s="166">
        <v>9</v>
      </c>
      <c r="E315" s="137">
        <v>2050</v>
      </c>
      <c r="F315" s="138">
        <f t="shared" si="84"/>
        <v>4100</v>
      </c>
      <c r="G315" s="138"/>
      <c r="H315" s="167">
        <f t="shared" si="87"/>
        <v>2050</v>
      </c>
      <c r="I315" s="167"/>
      <c r="J315" s="59"/>
      <c r="K315" s="59"/>
      <c r="L315" s="59"/>
      <c r="M315" s="59"/>
      <c r="N315" s="167">
        <f t="shared" si="88"/>
        <v>1230</v>
      </c>
      <c r="O315" s="59"/>
      <c r="P315" s="59"/>
      <c r="Q315" s="59"/>
      <c r="R315" s="59"/>
      <c r="S315" s="59"/>
      <c r="T315" s="59"/>
      <c r="U315" s="59"/>
      <c r="V315" s="59"/>
      <c r="W315" s="59">
        <f t="shared" si="85"/>
        <v>3280</v>
      </c>
      <c r="X315" s="138">
        <f t="shared" si="86"/>
        <v>7380</v>
      </c>
      <c r="Y315" s="186">
        <f t="shared" si="89"/>
        <v>59040</v>
      </c>
    </row>
    <row r="316" spans="1:25" ht="18.75" customHeight="1" x14ac:dyDescent="0.25">
      <c r="A316" s="163">
        <v>11</v>
      </c>
      <c r="B316" s="164" t="s">
        <v>240</v>
      </c>
      <c r="C316" s="166">
        <v>1.5</v>
      </c>
      <c r="D316" s="166">
        <v>8</v>
      </c>
      <c r="E316" s="137">
        <v>1943</v>
      </c>
      <c r="F316" s="138">
        <f>E316*C316</f>
        <v>2914.5</v>
      </c>
      <c r="G316" s="138"/>
      <c r="H316" s="167">
        <f>ROUNDUP(F316*50%,0)</f>
        <v>1458</v>
      </c>
      <c r="I316" s="167"/>
      <c r="J316" s="59"/>
      <c r="K316" s="59"/>
      <c r="L316" s="59"/>
      <c r="M316" s="59"/>
      <c r="N316" s="167">
        <f t="shared" si="88"/>
        <v>875</v>
      </c>
      <c r="O316" s="59"/>
      <c r="P316" s="59"/>
      <c r="Q316" s="59"/>
      <c r="R316" s="59"/>
      <c r="S316" s="59"/>
      <c r="T316" s="59"/>
      <c r="U316" s="59"/>
      <c r="V316" s="59"/>
      <c r="W316" s="59">
        <f t="shared" si="85"/>
        <v>2333</v>
      </c>
      <c r="X316" s="138">
        <f t="shared" si="86"/>
        <v>5247.5</v>
      </c>
      <c r="Y316" s="186">
        <f t="shared" si="89"/>
        <v>41980</v>
      </c>
    </row>
    <row r="317" spans="1:25" ht="23.1" customHeight="1" x14ac:dyDescent="0.25">
      <c r="A317" s="163">
        <v>12</v>
      </c>
      <c r="B317" s="164" t="s">
        <v>241</v>
      </c>
      <c r="C317" s="166">
        <v>1</v>
      </c>
      <c r="D317" s="166">
        <v>8</v>
      </c>
      <c r="E317" s="137">
        <v>1943</v>
      </c>
      <c r="F317" s="138">
        <f t="shared" si="84"/>
        <v>1943</v>
      </c>
      <c r="G317" s="138"/>
      <c r="H317" s="167">
        <f t="shared" si="87"/>
        <v>972</v>
      </c>
      <c r="I317" s="167"/>
      <c r="J317" s="59"/>
      <c r="K317" s="59"/>
      <c r="L317" s="59"/>
      <c r="M317" s="59"/>
      <c r="N317" s="167">
        <f t="shared" si="88"/>
        <v>583</v>
      </c>
      <c r="O317" s="59"/>
      <c r="P317" s="59"/>
      <c r="Q317" s="59"/>
      <c r="R317" s="59"/>
      <c r="S317" s="59"/>
      <c r="T317" s="59"/>
      <c r="U317" s="59"/>
      <c r="V317" s="59"/>
      <c r="W317" s="59">
        <f t="shared" si="85"/>
        <v>1555</v>
      </c>
      <c r="X317" s="138">
        <f t="shared" si="86"/>
        <v>3498</v>
      </c>
      <c r="Y317" s="186">
        <f t="shared" si="89"/>
        <v>27984</v>
      </c>
    </row>
    <row r="318" spans="1:25" ht="23.1" customHeight="1" x14ac:dyDescent="0.25">
      <c r="A318" s="163">
        <v>13</v>
      </c>
      <c r="B318" s="164" t="s">
        <v>242</v>
      </c>
      <c r="C318" s="166">
        <v>1</v>
      </c>
      <c r="D318" s="166">
        <v>9</v>
      </c>
      <c r="E318" s="137">
        <v>2050</v>
      </c>
      <c r="F318" s="138">
        <f>E318*C318</f>
        <v>2050</v>
      </c>
      <c r="G318" s="138"/>
      <c r="H318" s="139"/>
      <c r="I318" s="13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>
        <f>SUM(H318:V318)</f>
        <v>0</v>
      </c>
      <c r="X318" s="138">
        <f>C318*E318+W318</f>
        <v>2050</v>
      </c>
      <c r="Y318" s="186">
        <f t="shared" si="89"/>
        <v>16400</v>
      </c>
    </row>
    <row r="319" spans="1:25" ht="25.5" customHeight="1" x14ac:dyDescent="0.25">
      <c r="A319" s="163"/>
      <c r="B319" s="164"/>
      <c r="C319" s="144">
        <f>SUM(C305:C318)</f>
        <v>56</v>
      </c>
      <c r="D319" s="144"/>
      <c r="E319" s="144"/>
      <c r="F319" s="190">
        <f t="shared" ref="F319:V319" si="90">SUM(F305:F318)</f>
        <v>135861</v>
      </c>
      <c r="G319" s="190"/>
      <c r="H319" s="198">
        <f t="shared" si="90"/>
        <v>66908</v>
      </c>
      <c r="I319" s="198">
        <f t="shared" si="90"/>
        <v>0</v>
      </c>
      <c r="J319" s="198">
        <f>SUM(J305:J318)</f>
        <v>0</v>
      </c>
      <c r="K319" s="198">
        <f t="shared" si="90"/>
        <v>0</v>
      </c>
      <c r="L319" s="198">
        <f t="shared" si="90"/>
        <v>0</v>
      </c>
      <c r="M319" s="198">
        <f t="shared" si="90"/>
        <v>0</v>
      </c>
      <c r="N319" s="198">
        <f t="shared" si="90"/>
        <v>40148</v>
      </c>
      <c r="O319" s="198">
        <f t="shared" si="90"/>
        <v>0</v>
      </c>
      <c r="P319" s="198">
        <f t="shared" si="90"/>
        <v>0</v>
      </c>
      <c r="Q319" s="198">
        <f t="shared" si="90"/>
        <v>765</v>
      </c>
      <c r="R319" s="198">
        <f t="shared" si="90"/>
        <v>0</v>
      </c>
      <c r="S319" s="198">
        <f t="shared" si="90"/>
        <v>459</v>
      </c>
      <c r="T319" s="198">
        <f t="shared" si="90"/>
        <v>0</v>
      </c>
      <c r="U319" s="198">
        <f t="shared" si="90"/>
        <v>0</v>
      </c>
      <c r="V319" s="198">
        <f t="shared" si="90"/>
        <v>0</v>
      </c>
      <c r="W319" s="184">
        <f>SUM(H319:V319)</f>
        <v>108280</v>
      </c>
      <c r="X319" s="143">
        <f>SUM(X305:X318)</f>
        <v>244141</v>
      </c>
      <c r="Y319" s="143">
        <f>SUM(Y305:Y318)</f>
        <v>1953128</v>
      </c>
    </row>
    <row r="320" spans="1:25" ht="19.5" customHeight="1" x14ac:dyDescent="0.25">
      <c r="A320" s="174" t="s">
        <v>243</v>
      </c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6"/>
      <c r="Y320" s="163"/>
    </row>
    <row r="321" spans="1:25" ht="27.9" customHeight="1" x14ac:dyDescent="0.25">
      <c r="A321" s="163">
        <v>1</v>
      </c>
      <c r="B321" s="229" t="s">
        <v>244</v>
      </c>
      <c r="C321" s="166">
        <v>1</v>
      </c>
      <c r="D321" s="204">
        <v>10</v>
      </c>
      <c r="E321" s="137">
        <v>2157</v>
      </c>
      <c r="F321" s="138">
        <f t="shared" ref="F321:F347" si="91">E321*C321</f>
        <v>2157</v>
      </c>
      <c r="G321" s="138"/>
      <c r="H321" s="139"/>
      <c r="I321" s="13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139">
        <f t="shared" ref="W321:W347" si="92">SUM(H321:V321)</f>
        <v>0</v>
      </c>
      <c r="X321" s="138">
        <f t="shared" ref="X321:X347" si="93">C321*E321+W321</f>
        <v>2157</v>
      </c>
      <c r="Y321" s="186">
        <f>X321*8</f>
        <v>17256</v>
      </c>
    </row>
    <row r="322" spans="1:25" ht="27.9" customHeight="1" x14ac:dyDescent="0.25">
      <c r="A322" s="163">
        <v>2</v>
      </c>
      <c r="B322" s="164" t="s">
        <v>99</v>
      </c>
      <c r="C322" s="166">
        <f>10+1+0.5</f>
        <v>11.5</v>
      </c>
      <c r="D322" s="166">
        <v>9</v>
      </c>
      <c r="E322" s="137">
        <v>2050</v>
      </c>
      <c r="F322" s="138">
        <f t="shared" si="91"/>
        <v>23575</v>
      </c>
      <c r="G322" s="138"/>
      <c r="H322" s="139"/>
      <c r="I322" s="13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139">
        <f t="shared" si="92"/>
        <v>0</v>
      </c>
      <c r="X322" s="138">
        <f t="shared" si="93"/>
        <v>23575</v>
      </c>
      <c r="Y322" s="186">
        <f t="shared" ref="Y322:Y347" si="94">X322*8</f>
        <v>188600</v>
      </c>
    </row>
    <row r="323" spans="1:25" ht="27.9" customHeight="1" x14ac:dyDescent="0.25">
      <c r="A323" s="163">
        <v>3</v>
      </c>
      <c r="B323" s="164" t="s">
        <v>100</v>
      </c>
      <c r="C323" s="166">
        <v>5</v>
      </c>
      <c r="D323" s="166">
        <v>8</v>
      </c>
      <c r="E323" s="137">
        <v>1943</v>
      </c>
      <c r="F323" s="138">
        <f t="shared" si="91"/>
        <v>9715</v>
      </c>
      <c r="G323" s="138"/>
      <c r="H323" s="139"/>
      <c r="I323" s="13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>
        <f>ROUNDUP(E323*16%,0)</f>
        <v>311</v>
      </c>
      <c r="U323" s="59"/>
      <c r="V323" s="59"/>
      <c r="W323" s="139">
        <f t="shared" si="92"/>
        <v>311</v>
      </c>
      <c r="X323" s="138">
        <f t="shared" si="93"/>
        <v>10026</v>
      </c>
      <c r="Y323" s="186">
        <f t="shared" si="94"/>
        <v>80208</v>
      </c>
    </row>
    <row r="324" spans="1:25" ht="27.9" customHeight="1" x14ac:dyDescent="0.25">
      <c r="A324" s="163">
        <v>4</v>
      </c>
      <c r="B324" s="164" t="s">
        <v>101</v>
      </c>
      <c r="C324" s="166">
        <v>0.5</v>
      </c>
      <c r="D324" s="166">
        <v>7</v>
      </c>
      <c r="E324" s="137">
        <v>1825</v>
      </c>
      <c r="F324" s="138">
        <f>E324*C324</f>
        <v>912.5</v>
      </c>
      <c r="G324" s="138"/>
      <c r="H324" s="139"/>
      <c r="I324" s="13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139">
        <f t="shared" si="92"/>
        <v>0</v>
      </c>
      <c r="X324" s="138">
        <f t="shared" si="93"/>
        <v>912.5</v>
      </c>
      <c r="Y324" s="186">
        <f t="shared" si="94"/>
        <v>7300</v>
      </c>
    </row>
    <row r="325" spans="1:25" ht="23.25" customHeight="1" x14ac:dyDescent="0.25">
      <c r="A325" s="163">
        <v>5</v>
      </c>
      <c r="B325" s="164" t="s">
        <v>102</v>
      </c>
      <c r="C325" s="166">
        <f>12.5-1+1-2</f>
        <v>10.5</v>
      </c>
      <c r="D325" s="166">
        <v>7</v>
      </c>
      <c r="E325" s="137">
        <v>1825</v>
      </c>
      <c r="F325" s="138">
        <f t="shared" si="91"/>
        <v>19162.5</v>
      </c>
      <c r="G325" s="138"/>
      <c r="H325" s="139"/>
      <c r="I325" s="13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>
        <f>ROUNDUP(E325*8%,0)</f>
        <v>146</v>
      </c>
      <c r="U325" s="59"/>
      <c r="V325" s="59"/>
      <c r="W325" s="139">
        <f t="shared" si="92"/>
        <v>146</v>
      </c>
      <c r="X325" s="138">
        <f t="shared" si="93"/>
        <v>19308.5</v>
      </c>
      <c r="Y325" s="186">
        <f t="shared" si="94"/>
        <v>154468</v>
      </c>
    </row>
    <row r="326" spans="1:25" ht="23.25" customHeight="1" x14ac:dyDescent="0.25">
      <c r="A326" s="163">
        <v>6</v>
      </c>
      <c r="B326" s="164" t="s">
        <v>245</v>
      </c>
      <c r="C326" s="166">
        <f>6+2-3</f>
        <v>5</v>
      </c>
      <c r="D326" s="166">
        <v>4</v>
      </c>
      <c r="E326" s="137">
        <v>1543</v>
      </c>
      <c r="F326" s="138">
        <f t="shared" si="91"/>
        <v>7715</v>
      </c>
      <c r="G326" s="138"/>
      <c r="H326" s="139"/>
      <c r="I326" s="13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139">
        <f t="shared" si="92"/>
        <v>0</v>
      </c>
      <c r="X326" s="138">
        <f t="shared" si="93"/>
        <v>7715</v>
      </c>
      <c r="Y326" s="186">
        <f t="shared" si="94"/>
        <v>61720</v>
      </c>
    </row>
    <row r="327" spans="1:25" ht="23.25" customHeight="1" x14ac:dyDescent="0.25">
      <c r="A327" s="163">
        <v>7</v>
      </c>
      <c r="B327" s="164" t="s">
        <v>246</v>
      </c>
      <c r="C327" s="166">
        <v>1</v>
      </c>
      <c r="D327" s="166">
        <v>3</v>
      </c>
      <c r="E327" s="137">
        <v>1532</v>
      </c>
      <c r="F327" s="138">
        <f t="shared" si="91"/>
        <v>1532</v>
      </c>
      <c r="G327" s="138"/>
      <c r="H327" s="139"/>
      <c r="I327" s="13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139">
        <f t="shared" si="92"/>
        <v>0</v>
      </c>
      <c r="X327" s="138">
        <f t="shared" si="93"/>
        <v>1532</v>
      </c>
      <c r="Y327" s="186">
        <f t="shared" si="94"/>
        <v>12256</v>
      </c>
    </row>
    <row r="328" spans="1:25" ht="23.25" customHeight="1" x14ac:dyDescent="0.25">
      <c r="A328" s="163">
        <v>8</v>
      </c>
      <c r="B328" s="164" t="s">
        <v>247</v>
      </c>
      <c r="C328" s="166">
        <v>1</v>
      </c>
      <c r="D328" s="166">
        <v>3</v>
      </c>
      <c r="E328" s="137">
        <v>1532</v>
      </c>
      <c r="F328" s="138">
        <f t="shared" si="91"/>
        <v>1532</v>
      </c>
      <c r="G328" s="138"/>
      <c r="H328" s="139"/>
      <c r="I328" s="13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139">
        <f t="shared" si="92"/>
        <v>0</v>
      </c>
      <c r="X328" s="138">
        <f t="shared" si="93"/>
        <v>1532</v>
      </c>
      <c r="Y328" s="186">
        <f t="shared" si="94"/>
        <v>12256</v>
      </c>
    </row>
    <row r="329" spans="1:25" ht="21" customHeight="1" x14ac:dyDescent="0.25">
      <c r="A329" s="163">
        <v>9</v>
      </c>
      <c r="B329" s="164" t="s">
        <v>134</v>
      </c>
      <c r="C329" s="166">
        <v>11</v>
      </c>
      <c r="D329" s="166">
        <v>2</v>
      </c>
      <c r="E329" s="137">
        <v>1521</v>
      </c>
      <c r="F329" s="138">
        <f t="shared" si="91"/>
        <v>16731</v>
      </c>
      <c r="G329" s="138"/>
      <c r="H329" s="139"/>
      <c r="I329" s="13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137"/>
      <c r="W329" s="139">
        <f t="shared" si="92"/>
        <v>0</v>
      </c>
      <c r="X329" s="138">
        <f t="shared" si="93"/>
        <v>16731</v>
      </c>
      <c r="Y329" s="186">
        <f t="shared" si="94"/>
        <v>133848</v>
      </c>
    </row>
    <row r="330" spans="1:25" ht="21.75" customHeight="1" x14ac:dyDescent="0.25">
      <c r="A330" s="163">
        <v>10</v>
      </c>
      <c r="B330" s="164" t="s">
        <v>175</v>
      </c>
      <c r="C330" s="166">
        <v>12.5</v>
      </c>
      <c r="D330" s="166">
        <v>2</v>
      </c>
      <c r="E330" s="137">
        <v>1521</v>
      </c>
      <c r="F330" s="138">
        <f t="shared" si="91"/>
        <v>19012.5</v>
      </c>
      <c r="G330" s="138"/>
      <c r="H330" s="139"/>
      <c r="I330" s="13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139">
        <f t="shared" si="92"/>
        <v>0</v>
      </c>
      <c r="X330" s="138">
        <f t="shared" si="93"/>
        <v>19012.5</v>
      </c>
      <c r="Y330" s="186">
        <f t="shared" si="94"/>
        <v>152100</v>
      </c>
    </row>
    <row r="331" spans="1:25" ht="22.5" customHeight="1" x14ac:dyDescent="0.25">
      <c r="A331" s="163">
        <v>11</v>
      </c>
      <c r="B331" s="164" t="s">
        <v>173</v>
      </c>
      <c r="C331" s="166">
        <v>21</v>
      </c>
      <c r="D331" s="166">
        <v>2</v>
      </c>
      <c r="E331" s="137">
        <v>1521</v>
      </c>
      <c r="F331" s="138">
        <f t="shared" si="91"/>
        <v>31941</v>
      </c>
      <c r="G331" s="138"/>
      <c r="H331" s="139"/>
      <c r="I331" s="13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>
        <f>ROUNDUP(F331*10%,0)</f>
        <v>3195</v>
      </c>
      <c r="U331" s="59"/>
      <c r="V331" s="59"/>
      <c r="W331" s="139">
        <f t="shared" si="92"/>
        <v>3195</v>
      </c>
      <c r="X331" s="138">
        <f t="shared" si="93"/>
        <v>35136</v>
      </c>
      <c r="Y331" s="186">
        <f t="shared" si="94"/>
        <v>281088</v>
      </c>
    </row>
    <row r="332" spans="1:25" ht="27.9" customHeight="1" x14ac:dyDescent="0.25">
      <c r="A332" s="163">
        <v>12</v>
      </c>
      <c r="B332" s="194" t="s">
        <v>248</v>
      </c>
      <c r="C332" s="166">
        <v>2</v>
      </c>
      <c r="D332" s="204">
        <v>5</v>
      </c>
      <c r="E332" s="137">
        <v>1612</v>
      </c>
      <c r="F332" s="138">
        <f t="shared" si="91"/>
        <v>3224</v>
      </c>
      <c r="G332" s="138"/>
      <c r="H332" s="139"/>
      <c r="I332" s="13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139">
        <f t="shared" si="92"/>
        <v>0</v>
      </c>
      <c r="X332" s="138">
        <f t="shared" si="93"/>
        <v>3224</v>
      </c>
      <c r="Y332" s="186">
        <f t="shared" si="94"/>
        <v>25792</v>
      </c>
    </row>
    <row r="333" spans="1:25" ht="27.9" customHeight="1" x14ac:dyDescent="0.25">
      <c r="A333" s="163">
        <v>13</v>
      </c>
      <c r="B333" s="194" t="s">
        <v>249</v>
      </c>
      <c r="C333" s="166">
        <v>1</v>
      </c>
      <c r="D333" s="204">
        <v>3</v>
      </c>
      <c r="E333" s="137">
        <v>1532</v>
      </c>
      <c r="F333" s="138">
        <f t="shared" si="91"/>
        <v>1532</v>
      </c>
      <c r="G333" s="138"/>
      <c r="H333" s="139"/>
      <c r="I333" s="13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139">
        <f t="shared" si="92"/>
        <v>0</v>
      </c>
      <c r="X333" s="138">
        <f t="shared" si="93"/>
        <v>1532</v>
      </c>
      <c r="Y333" s="186">
        <f t="shared" si="94"/>
        <v>12256</v>
      </c>
    </row>
    <row r="334" spans="1:25" ht="27.9" customHeight="1" x14ac:dyDescent="0.25">
      <c r="A334" s="163">
        <v>14</v>
      </c>
      <c r="B334" s="135" t="s">
        <v>222</v>
      </c>
      <c r="C334" s="163">
        <v>1</v>
      </c>
      <c r="D334" s="134">
        <v>5</v>
      </c>
      <c r="E334" s="137">
        <v>1612</v>
      </c>
      <c r="F334" s="186">
        <f t="shared" si="91"/>
        <v>1612</v>
      </c>
      <c r="G334" s="186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>
        <f t="shared" si="92"/>
        <v>0</v>
      </c>
      <c r="X334" s="186">
        <f t="shared" si="93"/>
        <v>1612</v>
      </c>
      <c r="Y334" s="186">
        <f t="shared" si="94"/>
        <v>12896</v>
      </c>
    </row>
    <row r="335" spans="1:25" ht="27.9" customHeight="1" x14ac:dyDescent="0.25">
      <c r="A335" s="163">
        <v>15</v>
      </c>
      <c r="B335" s="164" t="s">
        <v>190</v>
      </c>
      <c r="C335" s="166">
        <v>1</v>
      </c>
      <c r="D335" s="204">
        <v>4</v>
      </c>
      <c r="E335" s="137">
        <v>1543</v>
      </c>
      <c r="F335" s="138">
        <f t="shared" si="91"/>
        <v>1543</v>
      </c>
      <c r="G335" s="138"/>
      <c r="H335" s="139"/>
      <c r="I335" s="13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139">
        <f t="shared" si="92"/>
        <v>0</v>
      </c>
      <c r="X335" s="138">
        <f t="shared" si="93"/>
        <v>1543</v>
      </c>
      <c r="Y335" s="186">
        <f t="shared" si="94"/>
        <v>12344</v>
      </c>
    </row>
    <row r="336" spans="1:25" ht="27.9" customHeight="1" x14ac:dyDescent="0.25">
      <c r="A336" s="163">
        <v>16</v>
      </c>
      <c r="B336" s="194" t="s">
        <v>250</v>
      </c>
      <c r="C336" s="166">
        <v>1</v>
      </c>
      <c r="D336" s="204">
        <v>3</v>
      </c>
      <c r="E336" s="137">
        <v>1532</v>
      </c>
      <c r="F336" s="138">
        <f>E336*C336</f>
        <v>1532</v>
      </c>
      <c r="G336" s="138"/>
      <c r="H336" s="139"/>
      <c r="I336" s="13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139">
        <f t="shared" si="92"/>
        <v>0</v>
      </c>
      <c r="X336" s="138">
        <f t="shared" si="93"/>
        <v>1532</v>
      </c>
      <c r="Y336" s="186">
        <f t="shared" si="94"/>
        <v>12256</v>
      </c>
    </row>
    <row r="337" spans="1:29" ht="27.9" customHeight="1" x14ac:dyDescent="0.25">
      <c r="A337" s="163">
        <v>17</v>
      </c>
      <c r="B337" s="194" t="s">
        <v>251</v>
      </c>
      <c r="C337" s="166">
        <v>2</v>
      </c>
      <c r="D337" s="204">
        <v>3</v>
      </c>
      <c r="E337" s="137">
        <v>1532</v>
      </c>
      <c r="F337" s="138">
        <f t="shared" si="91"/>
        <v>3064</v>
      </c>
      <c r="G337" s="138"/>
      <c r="H337" s="139"/>
      <c r="I337" s="13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139">
        <f t="shared" si="92"/>
        <v>0</v>
      </c>
      <c r="X337" s="138">
        <f t="shared" si="93"/>
        <v>3064</v>
      </c>
      <c r="Y337" s="186">
        <f t="shared" si="94"/>
        <v>24512</v>
      </c>
    </row>
    <row r="338" spans="1:29" ht="27.9" customHeight="1" x14ac:dyDescent="0.25">
      <c r="A338" s="163">
        <v>18</v>
      </c>
      <c r="B338" s="194" t="s">
        <v>252</v>
      </c>
      <c r="C338" s="166">
        <f>2+1</f>
        <v>3</v>
      </c>
      <c r="D338" s="204">
        <v>4</v>
      </c>
      <c r="E338" s="137">
        <v>1543</v>
      </c>
      <c r="F338" s="138">
        <f t="shared" si="91"/>
        <v>4629</v>
      </c>
      <c r="G338" s="138"/>
      <c r="H338" s="139"/>
      <c r="I338" s="13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139">
        <f t="shared" si="92"/>
        <v>0</v>
      </c>
      <c r="X338" s="138">
        <f t="shared" si="93"/>
        <v>4629</v>
      </c>
      <c r="Y338" s="186">
        <f t="shared" si="94"/>
        <v>37032</v>
      </c>
    </row>
    <row r="339" spans="1:29" ht="18" customHeight="1" x14ac:dyDescent="0.25">
      <c r="A339" s="163">
        <v>19</v>
      </c>
      <c r="B339" s="164" t="s">
        <v>253</v>
      </c>
      <c r="C339" s="166">
        <v>2</v>
      </c>
      <c r="D339" s="166">
        <v>5</v>
      </c>
      <c r="E339" s="137">
        <v>1612</v>
      </c>
      <c r="F339" s="138">
        <f t="shared" si="91"/>
        <v>3224</v>
      </c>
      <c r="G339" s="138"/>
      <c r="H339" s="139"/>
      <c r="I339" s="13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139">
        <f t="shared" si="92"/>
        <v>0</v>
      </c>
      <c r="X339" s="138">
        <f t="shared" si="93"/>
        <v>3224</v>
      </c>
      <c r="Y339" s="186">
        <f t="shared" si="94"/>
        <v>25792</v>
      </c>
    </row>
    <row r="340" spans="1:29" ht="18.75" customHeight="1" x14ac:dyDescent="0.25">
      <c r="A340" s="163">
        <v>20</v>
      </c>
      <c r="B340" s="164" t="s">
        <v>254</v>
      </c>
      <c r="C340" s="166">
        <v>1</v>
      </c>
      <c r="D340" s="166">
        <v>5</v>
      </c>
      <c r="E340" s="137">
        <v>1612</v>
      </c>
      <c r="F340" s="138">
        <f t="shared" si="91"/>
        <v>1612</v>
      </c>
      <c r="G340" s="138"/>
      <c r="H340" s="139"/>
      <c r="I340" s="13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139">
        <f t="shared" si="92"/>
        <v>0</v>
      </c>
      <c r="X340" s="138">
        <f t="shared" si="93"/>
        <v>1612</v>
      </c>
      <c r="Y340" s="186">
        <f t="shared" si="94"/>
        <v>12896</v>
      </c>
    </row>
    <row r="341" spans="1:29" ht="21" customHeight="1" x14ac:dyDescent="0.25">
      <c r="A341" s="163">
        <v>21</v>
      </c>
      <c r="B341" s="164" t="s">
        <v>255</v>
      </c>
      <c r="C341" s="166">
        <v>1</v>
      </c>
      <c r="D341" s="204">
        <v>4</v>
      </c>
      <c r="E341" s="137">
        <v>1543</v>
      </c>
      <c r="F341" s="138">
        <f>E341*C341</f>
        <v>1543</v>
      </c>
      <c r="G341" s="138"/>
      <c r="H341" s="139"/>
      <c r="I341" s="13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139">
        <f t="shared" si="92"/>
        <v>0</v>
      </c>
      <c r="X341" s="138">
        <f t="shared" si="93"/>
        <v>1543</v>
      </c>
      <c r="Y341" s="186">
        <f t="shared" si="94"/>
        <v>12344</v>
      </c>
    </row>
    <row r="342" spans="1:29" ht="26.25" customHeight="1" x14ac:dyDescent="0.25">
      <c r="A342" s="163">
        <v>22</v>
      </c>
      <c r="B342" s="194" t="s">
        <v>256</v>
      </c>
      <c r="C342" s="166">
        <v>2</v>
      </c>
      <c r="D342" s="204">
        <v>3</v>
      </c>
      <c r="E342" s="137">
        <v>1532</v>
      </c>
      <c r="F342" s="138">
        <f>E342*C342</f>
        <v>3064</v>
      </c>
      <c r="G342" s="138"/>
      <c r="H342" s="139"/>
      <c r="I342" s="13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139">
        <f t="shared" si="92"/>
        <v>0</v>
      </c>
      <c r="X342" s="138">
        <f t="shared" si="93"/>
        <v>3064</v>
      </c>
      <c r="Y342" s="186">
        <f t="shared" si="94"/>
        <v>24512</v>
      </c>
    </row>
    <row r="343" spans="1:29" ht="19.5" customHeight="1" x14ac:dyDescent="0.25">
      <c r="A343" s="163">
        <v>23</v>
      </c>
      <c r="B343" s="164" t="s">
        <v>257</v>
      </c>
      <c r="C343" s="166">
        <v>2</v>
      </c>
      <c r="D343" s="166">
        <v>5</v>
      </c>
      <c r="E343" s="137">
        <v>1612</v>
      </c>
      <c r="F343" s="138">
        <f t="shared" si="91"/>
        <v>3224</v>
      </c>
      <c r="G343" s="138"/>
      <c r="H343" s="139"/>
      <c r="I343" s="13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139">
        <f t="shared" si="92"/>
        <v>0</v>
      </c>
      <c r="X343" s="138">
        <f t="shared" si="93"/>
        <v>3224</v>
      </c>
      <c r="Y343" s="186">
        <f t="shared" si="94"/>
        <v>25792</v>
      </c>
    </row>
    <row r="344" spans="1:29" ht="20.25" customHeight="1" x14ac:dyDescent="0.25">
      <c r="A344" s="163">
        <v>24</v>
      </c>
      <c r="B344" s="164" t="s">
        <v>217</v>
      </c>
      <c r="C344" s="166">
        <v>1</v>
      </c>
      <c r="D344" s="204">
        <v>3</v>
      </c>
      <c r="E344" s="137">
        <v>1532</v>
      </c>
      <c r="F344" s="138">
        <f t="shared" si="91"/>
        <v>1532</v>
      </c>
      <c r="G344" s="138"/>
      <c r="H344" s="139"/>
      <c r="I344" s="13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139">
        <f t="shared" si="92"/>
        <v>0</v>
      </c>
      <c r="X344" s="138">
        <f t="shared" si="93"/>
        <v>1532</v>
      </c>
      <c r="Y344" s="186">
        <f t="shared" si="94"/>
        <v>12256</v>
      </c>
    </row>
    <row r="345" spans="1:29" ht="16.5" customHeight="1" x14ac:dyDescent="0.25">
      <c r="A345" s="163">
        <v>25</v>
      </c>
      <c r="B345" s="164" t="s">
        <v>258</v>
      </c>
      <c r="C345" s="166">
        <v>1</v>
      </c>
      <c r="D345" s="166">
        <v>4</v>
      </c>
      <c r="E345" s="137">
        <v>1543</v>
      </c>
      <c r="F345" s="138">
        <f t="shared" si="91"/>
        <v>1543</v>
      </c>
      <c r="G345" s="138"/>
      <c r="H345" s="139"/>
      <c r="I345" s="13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139">
        <f t="shared" si="92"/>
        <v>0</v>
      </c>
      <c r="X345" s="138">
        <f t="shared" si="93"/>
        <v>1543</v>
      </c>
      <c r="Y345" s="186">
        <f t="shared" si="94"/>
        <v>12344</v>
      </c>
    </row>
    <row r="346" spans="1:29" ht="14.25" customHeight="1" x14ac:dyDescent="0.25">
      <c r="A346" s="163">
        <v>26</v>
      </c>
      <c r="B346" s="164" t="s">
        <v>177</v>
      </c>
      <c r="C346" s="163">
        <v>2</v>
      </c>
      <c r="D346" s="163">
        <v>1</v>
      </c>
      <c r="E346" s="137">
        <v>1516</v>
      </c>
      <c r="F346" s="186">
        <f>E346*C346</f>
        <v>3032</v>
      </c>
      <c r="G346" s="186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>
        <f t="shared" si="92"/>
        <v>0</v>
      </c>
      <c r="X346" s="186">
        <f t="shared" si="93"/>
        <v>3032</v>
      </c>
      <c r="Y346" s="186">
        <f t="shared" si="94"/>
        <v>24256</v>
      </c>
    </row>
    <row r="347" spans="1:29" ht="24" customHeight="1" x14ac:dyDescent="0.25">
      <c r="A347" s="163">
        <v>27</v>
      </c>
      <c r="B347" s="194" t="s">
        <v>259</v>
      </c>
      <c r="C347" s="166">
        <v>1</v>
      </c>
      <c r="D347" s="204">
        <v>5</v>
      </c>
      <c r="E347" s="137">
        <v>1612</v>
      </c>
      <c r="F347" s="138">
        <f t="shared" si="91"/>
        <v>1612</v>
      </c>
      <c r="G347" s="138"/>
      <c r="H347" s="139"/>
      <c r="I347" s="13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139">
        <f t="shared" si="92"/>
        <v>0</v>
      </c>
      <c r="X347" s="138">
        <f t="shared" si="93"/>
        <v>1612</v>
      </c>
      <c r="Y347" s="186">
        <f t="shared" si="94"/>
        <v>12896</v>
      </c>
    </row>
    <row r="348" spans="1:29" ht="27.9" customHeight="1" x14ac:dyDescent="0.25">
      <c r="A348" s="163"/>
      <c r="B348" s="164"/>
      <c r="C348" s="144">
        <f>SUM(C321:C347)</f>
        <v>104</v>
      </c>
      <c r="D348" s="166"/>
      <c r="E348" s="144"/>
      <c r="F348" s="190">
        <f>SUM(F321:F347)</f>
        <v>171507.5</v>
      </c>
      <c r="G348" s="190"/>
      <c r="H348" s="190">
        <f>SUM(H321:H347)</f>
        <v>0</v>
      </c>
      <c r="I348" s="190">
        <f>SUM(I321:I347)</f>
        <v>0</v>
      </c>
      <c r="J348" s="190">
        <f t="shared" ref="J348:W348" si="95">SUM(J321:J347)</f>
        <v>0</v>
      </c>
      <c r="K348" s="190">
        <f t="shared" si="95"/>
        <v>0</v>
      </c>
      <c r="L348" s="190">
        <f t="shared" si="95"/>
        <v>0</v>
      </c>
      <c r="M348" s="190">
        <f t="shared" si="95"/>
        <v>0</v>
      </c>
      <c r="N348" s="190">
        <f t="shared" si="95"/>
        <v>0</v>
      </c>
      <c r="O348" s="190">
        <f t="shared" si="95"/>
        <v>0</v>
      </c>
      <c r="P348" s="190">
        <f t="shared" si="95"/>
        <v>0</v>
      </c>
      <c r="Q348" s="190">
        <f t="shared" si="95"/>
        <v>0</v>
      </c>
      <c r="R348" s="190">
        <f t="shared" si="95"/>
        <v>0</v>
      </c>
      <c r="S348" s="190">
        <f t="shared" si="95"/>
        <v>0</v>
      </c>
      <c r="T348" s="198">
        <f t="shared" si="95"/>
        <v>3652</v>
      </c>
      <c r="U348" s="197">
        <f t="shared" si="95"/>
        <v>0</v>
      </c>
      <c r="V348" s="198">
        <f t="shared" si="95"/>
        <v>0</v>
      </c>
      <c r="W348" s="190">
        <f t="shared" si="95"/>
        <v>3652</v>
      </c>
      <c r="X348" s="143">
        <f>SUM(X321:X347)</f>
        <v>175159.5</v>
      </c>
      <c r="Y348" s="143">
        <f>SUM(Y321:Y347)</f>
        <v>1401276</v>
      </c>
    </row>
    <row r="349" spans="1:29" ht="21.9" customHeight="1" x14ac:dyDescent="0.25">
      <c r="A349" s="174" t="s">
        <v>260</v>
      </c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6"/>
    </row>
    <row r="350" spans="1:29" ht="21.9" customHeight="1" x14ac:dyDescent="0.25">
      <c r="A350" s="163">
        <v>1</v>
      </c>
      <c r="B350" s="164" t="s">
        <v>99</v>
      </c>
      <c r="C350" s="163">
        <v>1</v>
      </c>
      <c r="D350" s="163">
        <v>9</v>
      </c>
      <c r="E350" s="134">
        <v>2050</v>
      </c>
      <c r="F350" s="183">
        <f>E350*C350</f>
        <v>2050</v>
      </c>
      <c r="G350" s="183"/>
      <c r="H350" s="139"/>
      <c r="I350" s="13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>
        <f>SUM(H350:V350)</f>
        <v>0</v>
      </c>
      <c r="X350" s="138">
        <f>C350*E350+W350</f>
        <v>2050</v>
      </c>
      <c r="Y350" s="186">
        <f>X350*8</f>
        <v>16400</v>
      </c>
    </row>
    <row r="351" spans="1:29" ht="21.9" customHeight="1" x14ac:dyDescent="0.25">
      <c r="A351" s="163"/>
      <c r="B351" s="164"/>
      <c r="C351" s="189">
        <f>SUM(C350)</f>
        <v>1</v>
      </c>
      <c r="D351" s="189"/>
      <c r="E351" s="189"/>
      <c r="F351" s="190">
        <f>SUM(F350)</f>
        <v>2050</v>
      </c>
      <c r="G351" s="190"/>
      <c r="H351" s="190">
        <f t="shared" ref="H351:Y351" si="96">SUM(H350)</f>
        <v>0</v>
      </c>
      <c r="I351" s="190">
        <f t="shared" si="96"/>
        <v>0</v>
      </c>
      <c r="J351" s="190">
        <f t="shared" si="96"/>
        <v>0</v>
      </c>
      <c r="K351" s="190">
        <f t="shared" si="96"/>
        <v>0</v>
      </c>
      <c r="L351" s="190">
        <f t="shared" si="96"/>
        <v>0</v>
      </c>
      <c r="M351" s="190">
        <f t="shared" si="96"/>
        <v>0</v>
      </c>
      <c r="N351" s="190">
        <f t="shared" si="96"/>
        <v>0</v>
      </c>
      <c r="O351" s="190">
        <f t="shared" si="96"/>
        <v>0</v>
      </c>
      <c r="P351" s="190">
        <f t="shared" si="96"/>
        <v>0</v>
      </c>
      <c r="Q351" s="190">
        <f t="shared" si="96"/>
        <v>0</v>
      </c>
      <c r="R351" s="190">
        <f t="shared" si="96"/>
        <v>0</v>
      </c>
      <c r="S351" s="190">
        <f t="shared" si="96"/>
        <v>0</v>
      </c>
      <c r="T351" s="190">
        <f t="shared" si="96"/>
        <v>0</v>
      </c>
      <c r="U351" s="190">
        <f t="shared" si="96"/>
        <v>0</v>
      </c>
      <c r="V351" s="190">
        <f t="shared" si="96"/>
        <v>0</v>
      </c>
      <c r="W351" s="190">
        <f t="shared" si="96"/>
        <v>0</v>
      </c>
      <c r="X351" s="190">
        <f t="shared" si="96"/>
        <v>2050</v>
      </c>
      <c r="Y351" s="190">
        <f t="shared" si="96"/>
        <v>16400</v>
      </c>
      <c r="Z351" s="190">
        <f ca="1">SUM(Z350:Z656)</f>
        <v>1989.8</v>
      </c>
      <c r="AA351" s="190">
        <f ca="1">SUM(AA350:AA656)</f>
        <v>0</v>
      </c>
      <c r="AB351" s="190">
        <f ca="1">SUM(AB350:AB656)</f>
        <v>0</v>
      </c>
      <c r="AC351" s="190">
        <f ca="1">SUM(AC350:AC656)</f>
        <v>0</v>
      </c>
    </row>
    <row r="352" spans="1:29" ht="27.75" customHeight="1" x14ac:dyDescent="0.25">
      <c r="A352" s="230" t="s">
        <v>261</v>
      </c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2"/>
    </row>
    <row r="353" spans="1:25" ht="21.9" customHeight="1" x14ac:dyDescent="0.25">
      <c r="A353" s="163">
        <v>1</v>
      </c>
      <c r="B353" s="164" t="s">
        <v>132</v>
      </c>
      <c r="C353" s="163">
        <v>1</v>
      </c>
      <c r="D353" s="163">
        <v>11</v>
      </c>
      <c r="E353" s="134">
        <v>2334</v>
      </c>
      <c r="F353" s="183">
        <f>E353*C353</f>
        <v>2334</v>
      </c>
      <c r="G353" s="183"/>
      <c r="H353" s="178"/>
      <c r="I353" s="59">
        <f>ROUNDUP(F353*20%,0)</f>
        <v>467</v>
      </c>
      <c r="J353" s="178"/>
      <c r="K353" s="178"/>
      <c r="L353" s="178"/>
      <c r="M353" s="178"/>
      <c r="N353" s="59">
        <f>ROUNDUP(F353*30%,0)</f>
        <v>701</v>
      </c>
      <c r="O353" s="178"/>
      <c r="P353" s="178"/>
      <c r="Q353" s="178"/>
      <c r="R353" s="178"/>
      <c r="S353" s="178"/>
      <c r="T353" s="178"/>
      <c r="U353" s="178"/>
      <c r="V353" s="178"/>
      <c r="W353" s="59">
        <f>SUM(H353:V353)</f>
        <v>1168</v>
      </c>
      <c r="X353" s="138">
        <f>C353*E353+W353</f>
        <v>3502</v>
      </c>
      <c r="Y353" s="165">
        <f>X353*8</f>
        <v>28016</v>
      </c>
    </row>
    <row r="354" spans="1:25" ht="21.9" customHeight="1" x14ac:dyDescent="0.25">
      <c r="A354" s="163">
        <v>2</v>
      </c>
      <c r="B354" s="164" t="s">
        <v>99</v>
      </c>
      <c r="C354" s="163">
        <v>1</v>
      </c>
      <c r="D354" s="163">
        <v>9</v>
      </c>
      <c r="E354" s="134">
        <v>2050</v>
      </c>
      <c r="F354" s="183">
        <f>E354*C354</f>
        <v>2050</v>
      </c>
      <c r="G354" s="183"/>
      <c r="H354" s="178"/>
      <c r="I354" s="178"/>
      <c r="J354" s="178"/>
      <c r="K354" s="178"/>
      <c r="L354" s="178"/>
      <c r="M354" s="178"/>
      <c r="N354" s="59"/>
      <c r="O354" s="178"/>
      <c r="P354" s="178"/>
      <c r="Q354" s="178"/>
      <c r="R354" s="178"/>
      <c r="S354" s="178"/>
      <c r="T354" s="178"/>
      <c r="U354" s="178"/>
      <c r="V354" s="178"/>
      <c r="W354" s="59">
        <f>SUM(H354:V354)</f>
        <v>0</v>
      </c>
      <c r="X354" s="138">
        <f>C354*E354+W354</f>
        <v>2050</v>
      </c>
      <c r="Y354" s="165">
        <f>X354*8</f>
        <v>16400</v>
      </c>
    </row>
    <row r="355" spans="1:25" ht="21.9" customHeight="1" x14ac:dyDescent="0.25">
      <c r="A355" s="163">
        <v>3</v>
      </c>
      <c r="B355" s="207" t="s">
        <v>262</v>
      </c>
      <c r="C355" s="163">
        <v>1</v>
      </c>
      <c r="D355" s="163">
        <v>7</v>
      </c>
      <c r="E355" s="163">
        <v>1825</v>
      </c>
      <c r="F355" s="186">
        <f>E355*C355</f>
        <v>1825</v>
      </c>
      <c r="G355" s="186"/>
      <c r="H355" s="163"/>
      <c r="I355" s="163"/>
      <c r="J355" s="163"/>
      <c r="K355" s="163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>
        <f>SUM(H355:V355)</f>
        <v>0</v>
      </c>
      <c r="X355" s="138">
        <f>C355*E355+W355</f>
        <v>1825</v>
      </c>
      <c r="Y355" s="165">
        <f>X355*8</f>
        <v>14600</v>
      </c>
    </row>
    <row r="356" spans="1:25" ht="21.9" customHeight="1" x14ac:dyDescent="0.25">
      <c r="A356" s="163"/>
      <c r="B356" s="164"/>
      <c r="C356" s="189">
        <f>SUM(C353:C355)</f>
        <v>3</v>
      </c>
      <c r="D356" s="189"/>
      <c r="E356" s="189"/>
      <c r="F356" s="190">
        <f>SUM(F353:F355)</f>
        <v>6209</v>
      </c>
      <c r="G356" s="190"/>
      <c r="H356" s="189">
        <f t="shared" ref="H356:W356" si="97">SUM(H353:H355)</f>
        <v>0</v>
      </c>
      <c r="I356" s="189">
        <f t="shared" si="97"/>
        <v>467</v>
      </c>
      <c r="J356" s="189">
        <f t="shared" si="97"/>
        <v>0</v>
      </c>
      <c r="K356" s="189">
        <f t="shared" si="97"/>
        <v>0</v>
      </c>
      <c r="L356" s="189">
        <f t="shared" si="97"/>
        <v>0</v>
      </c>
      <c r="M356" s="189">
        <f t="shared" si="97"/>
        <v>0</v>
      </c>
      <c r="N356" s="189">
        <f t="shared" si="97"/>
        <v>701</v>
      </c>
      <c r="O356" s="189">
        <f t="shared" si="97"/>
        <v>0</v>
      </c>
      <c r="P356" s="189">
        <f t="shared" si="97"/>
        <v>0</v>
      </c>
      <c r="Q356" s="189">
        <f t="shared" si="97"/>
        <v>0</v>
      </c>
      <c r="R356" s="189">
        <f t="shared" si="97"/>
        <v>0</v>
      </c>
      <c r="S356" s="189">
        <f t="shared" si="97"/>
        <v>0</v>
      </c>
      <c r="T356" s="189">
        <f t="shared" si="97"/>
        <v>0</v>
      </c>
      <c r="U356" s="189">
        <f t="shared" si="97"/>
        <v>0</v>
      </c>
      <c r="V356" s="189">
        <f t="shared" si="97"/>
        <v>0</v>
      </c>
      <c r="W356" s="189">
        <f t="shared" si="97"/>
        <v>1168</v>
      </c>
      <c r="X356" s="190">
        <f>SUM(X353:X355)</f>
        <v>7377</v>
      </c>
      <c r="Y356" s="190">
        <f>SUM(Y353:Y355)</f>
        <v>59016</v>
      </c>
    </row>
    <row r="357" spans="1:25" ht="21.9" customHeight="1" x14ac:dyDescent="0.25">
      <c r="A357" s="174" t="s">
        <v>263</v>
      </c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6"/>
    </row>
    <row r="358" spans="1:25" ht="21.9" customHeight="1" x14ac:dyDescent="0.25">
      <c r="A358" s="163">
        <v>1</v>
      </c>
      <c r="B358" s="164" t="s">
        <v>118</v>
      </c>
      <c r="C358" s="163">
        <v>1</v>
      </c>
      <c r="D358" s="163">
        <v>10</v>
      </c>
      <c r="E358" s="134">
        <v>2157</v>
      </c>
      <c r="F358" s="183">
        <f>E358*C358</f>
        <v>2157</v>
      </c>
      <c r="G358" s="183"/>
      <c r="H358" s="139"/>
      <c r="I358" s="13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>
        <f>SUM(H358:V358)</f>
        <v>0</v>
      </c>
      <c r="X358" s="138">
        <f>C358*E358+W358</f>
        <v>2157</v>
      </c>
      <c r="Y358" s="186">
        <f>X358*8</f>
        <v>17256</v>
      </c>
    </row>
    <row r="359" spans="1:25" ht="21.9" customHeight="1" x14ac:dyDescent="0.25">
      <c r="A359" s="163">
        <v>3</v>
      </c>
      <c r="B359" s="164" t="s">
        <v>264</v>
      </c>
      <c r="C359" s="163">
        <v>1</v>
      </c>
      <c r="D359" s="163">
        <v>9</v>
      </c>
      <c r="E359" s="163">
        <v>2050</v>
      </c>
      <c r="F359" s="183">
        <f>E359*C359</f>
        <v>2050</v>
      </c>
      <c r="G359" s="183"/>
      <c r="H359" s="139"/>
      <c r="I359" s="13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>
        <f>SUM(H359:V359)</f>
        <v>0</v>
      </c>
      <c r="X359" s="138">
        <f>C359*E359+W359</f>
        <v>2050</v>
      </c>
      <c r="Y359" s="186">
        <f>X359*8</f>
        <v>16400</v>
      </c>
    </row>
    <row r="360" spans="1:25" ht="21.9" customHeight="1" x14ac:dyDescent="0.25">
      <c r="A360" s="163">
        <v>4</v>
      </c>
      <c r="B360" s="164" t="s">
        <v>107</v>
      </c>
      <c r="C360" s="163">
        <v>1</v>
      </c>
      <c r="D360" s="163">
        <v>4</v>
      </c>
      <c r="E360" s="134">
        <v>1543</v>
      </c>
      <c r="F360" s="183">
        <f>E360*C360</f>
        <v>1543</v>
      </c>
      <c r="G360" s="183"/>
      <c r="H360" s="139"/>
      <c r="I360" s="13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>
        <f>SUM(H360:V360)</f>
        <v>0</v>
      </c>
      <c r="X360" s="138">
        <f>C360*E360+W360</f>
        <v>1543</v>
      </c>
      <c r="Y360" s="186">
        <f>X360*8</f>
        <v>12344</v>
      </c>
    </row>
    <row r="361" spans="1:25" ht="21.9" customHeight="1" x14ac:dyDescent="0.25">
      <c r="A361" s="163"/>
      <c r="B361" s="164"/>
      <c r="C361" s="189">
        <f>SUM(C358:C360)</f>
        <v>3</v>
      </c>
      <c r="D361" s="189"/>
      <c r="E361" s="189"/>
      <c r="F361" s="190">
        <f>SUM(F358:F360)</f>
        <v>5750</v>
      </c>
      <c r="G361" s="190"/>
      <c r="H361" s="189">
        <f t="shared" ref="H361:W361" si="98">SUM(H358:H360)</f>
        <v>0</v>
      </c>
      <c r="I361" s="189">
        <f t="shared" si="98"/>
        <v>0</v>
      </c>
      <c r="J361" s="189">
        <f t="shared" si="98"/>
        <v>0</v>
      </c>
      <c r="K361" s="189">
        <f t="shared" si="98"/>
        <v>0</v>
      </c>
      <c r="L361" s="189">
        <f t="shared" si="98"/>
        <v>0</v>
      </c>
      <c r="M361" s="189">
        <f t="shared" si="98"/>
        <v>0</v>
      </c>
      <c r="N361" s="189">
        <f t="shared" si="98"/>
        <v>0</v>
      </c>
      <c r="O361" s="189">
        <f t="shared" si="98"/>
        <v>0</v>
      </c>
      <c r="P361" s="189">
        <f t="shared" si="98"/>
        <v>0</v>
      </c>
      <c r="Q361" s="189">
        <f t="shared" si="98"/>
        <v>0</v>
      </c>
      <c r="R361" s="189">
        <f t="shared" si="98"/>
        <v>0</v>
      </c>
      <c r="S361" s="189">
        <f t="shared" si="98"/>
        <v>0</v>
      </c>
      <c r="T361" s="189">
        <f t="shared" si="98"/>
        <v>0</v>
      </c>
      <c r="U361" s="189">
        <f t="shared" si="98"/>
        <v>0</v>
      </c>
      <c r="V361" s="189">
        <f t="shared" si="98"/>
        <v>0</v>
      </c>
      <c r="W361" s="189">
        <f t="shared" si="98"/>
        <v>0</v>
      </c>
      <c r="X361" s="143">
        <f>SUM(X358:X360)</f>
        <v>5750</v>
      </c>
      <c r="Y361" s="143">
        <f>SUM(Y358:Y360)</f>
        <v>46000</v>
      </c>
    </row>
    <row r="362" spans="1:25" ht="21.9" customHeight="1" x14ac:dyDescent="0.25">
      <c r="A362" s="174" t="s">
        <v>265</v>
      </c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6"/>
    </row>
    <row r="363" spans="1:25" ht="21.9" customHeight="1" x14ac:dyDescent="0.25">
      <c r="A363" s="163">
        <v>1</v>
      </c>
      <c r="B363" s="164" t="s">
        <v>266</v>
      </c>
      <c r="C363" s="163">
        <v>1</v>
      </c>
      <c r="D363" s="163">
        <v>10</v>
      </c>
      <c r="E363" s="134">
        <v>2157</v>
      </c>
      <c r="F363" s="183">
        <f t="shared" ref="F363:F368" si="99">E363*C363</f>
        <v>2157</v>
      </c>
      <c r="G363" s="183"/>
      <c r="H363" s="139"/>
      <c r="I363" s="13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>
        <f t="shared" ref="W363:W369" si="100">SUM(H363:V363)</f>
        <v>0</v>
      </c>
      <c r="X363" s="138">
        <f t="shared" ref="X363:X368" si="101">F363+W363</f>
        <v>2157</v>
      </c>
      <c r="Y363" s="186">
        <f t="shared" ref="Y363:Y368" si="102">X363*8</f>
        <v>17256</v>
      </c>
    </row>
    <row r="364" spans="1:25" ht="28.5" customHeight="1" x14ac:dyDescent="0.25">
      <c r="A364" s="163">
        <v>2</v>
      </c>
      <c r="B364" s="203" t="s">
        <v>267</v>
      </c>
      <c r="C364" s="163">
        <v>1</v>
      </c>
      <c r="D364" s="163"/>
      <c r="E364" s="134">
        <v>2049</v>
      </c>
      <c r="F364" s="183">
        <f t="shared" si="99"/>
        <v>2049</v>
      </c>
      <c r="G364" s="183"/>
      <c r="H364" s="139"/>
      <c r="I364" s="13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>
        <f t="shared" si="100"/>
        <v>0</v>
      </c>
      <c r="X364" s="138">
        <f t="shared" si="101"/>
        <v>2049</v>
      </c>
      <c r="Y364" s="186">
        <f t="shared" si="102"/>
        <v>16392</v>
      </c>
    </row>
    <row r="365" spans="1:25" ht="21.9" customHeight="1" x14ac:dyDescent="0.25">
      <c r="A365" s="163">
        <v>3</v>
      </c>
      <c r="B365" s="164" t="s">
        <v>99</v>
      </c>
      <c r="C365" s="163">
        <v>2</v>
      </c>
      <c r="D365" s="163">
        <v>9</v>
      </c>
      <c r="E365" s="134">
        <v>2050</v>
      </c>
      <c r="F365" s="183">
        <f t="shared" si="99"/>
        <v>4100</v>
      </c>
      <c r="G365" s="183"/>
      <c r="H365" s="139"/>
      <c r="I365" s="13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>
        <f t="shared" si="100"/>
        <v>0</v>
      </c>
      <c r="X365" s="138">
        <f t="shared" si="101"/>
        <v>4100</v>
      </c>
      <c r="Y365" s="186">
        <f t="shared" si="102"/>
        <v>32800</v>
      </c>
    </row>
    <row r="366" spans="1:25" ht="21.9" customHeight="1" x14ac:dyDescent="0.25">
      <c r="A366" s="163">
        <v>4</v>
      </c>
      <c r="B366" s="164" t="s">
        <v>101</v>
      </c>
      <c r="C366" s="163">
        <v>0.5</v>
      </c>
      <c r="D366" s="163">
        <v>7</v>
      </c>
      <c r="E366" s="134">
        <v>1825</v>
      </c>
      <c r="F366" s="183">
        <f t="shared" si="99"/>
        <v>912.5</v>
      </c>
      <c r="G366" s="183"/>
      <c r="H366" s="139"/>
      <c r="I366" s="13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>
        <f t="shared" si="100"/>
        <v>0</v>
      </c>
      <c r="X366" s="138">
        <f t="shared" si="101"/>
        <v>912.5</v>
      </c>
      <c r="Y366" s="186">
        <f t="shared" si="102"/>
        <v>7300</v>
      </c>
    </row>
    <row r="367" spans="1:25" ht="21.9" customHeight="1" x14ac:dyDescent="0.25">
      <c r="A367" s="163">
        <v>5</v>
      </c>
      <c r="B367" s="164" t="s">
        <v>102</v>
      </c>
      <c r="C367" s="163">
        <v>2.5</v>
      </c>
      <c r="D367" s="163">
        <v>7</v>
      </c>
      <c r="E367" s="134">
        <v>1825</v>
      </c>
      <c r="F367" s="183">
        <f t="shared" si="99"/>
        <v>4562.5</v>
      </c>
      <c r="G367" s="183"/>
      <c r="H367" s="139"/>
      <c r="I367" s="13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>
        <f t="shared" si="100"/>
        <v>0</v>
      </c>
      <c r="X367" s="138">
        <f t="shared" si="101"/>
        <v>4562.5</v>
      </c>
      <c r="Y367" s="186">
        <f t="shared" si="102"/>
        <v>36500</v>
      </c>
    </row>
    <row r="368" spans="1:25" ht="21.9" customHeight="1" x14ac:dyDescent="0.25">
      <c r="A368" s="163">
        <v>6</v>
      </c>
      <c r="B368" s="164" t="s">
        <v>121</v>
      </c>
      <c r="C368" s="233">
        <v>2</v>
      </c>
      <c r="D368" s="233">
        <v>5</v>
      </c>
      <c r="E368" s="234">
        <v>1612</v>
      </c>
      <c r="F368" s="235">
        <f t="shared" si="99"/>
        <v>3224</v>
      </c>
      <c r="G368" s="235"/>
      <c r="H368" s="139"/>
      <c r="I368" s="13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>
        <f t="shared" si="100"/>
        <v>0</v>
      </c>
      <c r="X368" s="138">
        <f t="shared" si="101"/>
        <v>3224</v>
      </c>
      <c r="Y368" s="186">
        <f t="shared" si="102"/>
        <v>25792</v>
      </c>
    </row>
    <row r="369" spans="1:25" ht="17.399999999999999" customHeight="1" x14ac:dyDescent="0.25">
      <c r="A369" s="163"/>
      <c r="B369" s="164"/>
      <c r="C369" s="189">
        <f>SUM(C363:C368)</f>
        <v>9</v>
      </c>
      <c r="D369" s="189"/>
      <c r="E369" s="189"/>
      <c r="F369" s="190">
        <f>SUM(F363:F368)</f>
        <v>17005</v>
      </c>
      <c r="G369" s="190"/>
      <c r="H369" s="189">
        <f t="shared" ref="H369:V369" si="103">SUM(H363:H368)</f>
        <v>0</v>
      </c>
      <c r="I369" s="189">
        <f t="shared" si="103"/>
        <v>0</v>
      </c>
      <c r="J369" s="189">
        <f t="shared" si="103"/>
        <v>0</v>
      </c>
      <c r="K369" s="189">
        <f t="shared" si="103"/>
        <v>0</v>
      </c>
      <c r="L369" s="189">
        <f t="shared" si="103"/>
        <v>0</v>
      </c>
      <c r="M369" s="189">
        <f t="shared" si="103"/>
        <v>0</v>
      </c>
      <c r="N369" s="189">
        <f t="shared" si="103"/>
        <v>0</v>
      </c>
      <c r="O369" s="189">
        <f t="shared" si="103"/>
        <v>0</v>
      </c>
      <c r="P369" s="189">
        <f t="shared" si="103"/>
        <v>0</v>
      </c>
      <c r="Q369" s="189">
        <f t="shared" si="103"/>
        <v>0</v>
      </c>
      <c r="R369" s="189">
        <f t="shared" si="103"/>
        <v>0</v>
      </c>
      <c r="S369" s="189">
        <f t="shared" si="103"/>
        <v>0</v>
      </c>
      <c r="T369" s="189">
        <f t="shared" si="103"/>
        <v>0</v>
      </c>
      <c r="U369" s="189">
        <f t="shared" si="103"/>
        <v>0</v>
      </c>
      <c r="V369" s="189">
        <f t="shared" si="103"/>
        <v>0</v>
      </c>
      <c r="W369" s="59">
        <f t="shared" si="100"/>
        <v>0</v>
      </c>
      <c r="X369" s="143">
        <f>SUM(X363:X368)</f>
        <v>17005</v>
      </c>
      <c r="Y369" s="143">
        <f>SUM(Y363:Y368)</f>
        <v>136040</v>
      </c>
    </row>
    <row r="370" spans="1:25" ht="15" customHeight="1" x14ac:dyDescent="0.25">
      <c r="A370" s="174" t="s">
        <v>268</v>
      </c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6"/>
    </row>
    <row r="371" spans="1:25" ht="21.9" customHeight="1" x14ac:dyDescent="0.25">
      <c r="A371" s="168">
        <v>1</v>
      </c>
      <c r="B371" s="164" t="s">
        <v>269</v>
      </c>
      <c r="C371" s="163">
        <v>1</v>
      </c>
      <c r="D371" s="163">
        <v>12</v>
      </c>
      <c r="E371" s="134">
        <v>2512</v>
      </c>
      <c r="F371" s="183">
        <f t="shared" ref="F371:F382" si="104">E371*C371</f>
        <v>2512</v>
      </c>
      <c r="G371" s="183"/>
      <c r="H371" s="139"/>
      <c r="I371" s="13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>
        <f t="shared" ref="W371:W382" si="105">SUM(H371:V371)</f>
        <v>0</v>
      </c>
      <c r="X371" s="138">
        <f t="shared" ref="X371:X382" si="106">C371*E371+W371</f>
        <v>2512</v>
      </c>
      <c r="Y371" s="186">
        <f>X371*8</f>
        <v>20096</v>
      </c>
    </row>
    <row r="372" spans="1:25" ht="21.9" customHeight="1" x14ac:dyDescent="0.25">
      <c r="A372" s="168">
        <v>2</v>
      </c>
      <c r="B372" s="164" t="s">
        <v>98</v>
      </c>
      <c r="C372" s="163">
        <f>6+1+1+1.5-1</f>
        <v>8.5</v>
      </c>
      <c r="D372" s="163">
        <v>10</v>
      </c>
      <c r="E372" s="134">
        <v>2157</v>
      </c>
      <c r="F372" s="183">
        <f t="shared" si="104"/>
        <v>18334.5</v>
      </c>
      <c r="G372" s="183"/>
      <c r="H372" s="139"/>
      <c r="I372" s="13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>
        <f t="shared" si="105"/>
        <v>0</v>
      </c>
      <c r="X372" s="138">
        <f t="shared" si="106"/>
        <v>18334.5</v>
      </c>
      <c r="Y372" s="186">
        <f t="shared" ref="Y372:Y382" si="107">X372*8</f>
        <v>146676</v>
      </c>
    </row>
    <row r="373" spans="1:25" ht="21.9" customHeight="1" x14ac:dyDescent="0.25">
      <c r="A373" s="168">
        <v>3</v>
      </c>
      <c r="B373" s="164" t="s">
        <v>270</v>
      </c>
      <c r="C373" s="163">
        <f>10+4</f>
        <v>14</v>
      </c>
      <c r="D373" s="163">
        <v>9</v>
      </c>
      <c r="E373" s="163">
        <v>2050</v>
      </c>
      <c r="F373" s="183">
        <f t="shared" si="104"/>
        <v>28700</v>
      </c>
      <c r="G373" s="183"/>
      <c r="H373" s="139"/>
      <c r="I373" s="13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>
        <f t="shared" si="105"/>
        <v>0</v>
      </c>
      <c r="X373" s="138">
        <f t="shared" si="106"/>
        <v>28700</v>
      </c>
      <c r="Y373" s="186">
        <f t="shared" si="107"/>
        <v>229600</v>
      </c>
    </row>
    <row r="374" spans="1:25" ht="21.9" customHeight="1" x14ac:dyDescent="0.25">
      <c r="A374" s="168">
        <v>4</v>
      </c>
      <c r="B374" s="164" t="s">
        <v>271</v>
      </c>
      <c r="C374" s="163">
        <v>2</v>
      </c>
      <c r="D374" s="163">
        <v>8</v>
      </c>
      <c r="E374" s="163">
        <v>1943</v>
      </c>
      <c r="F374" s="183">
        <f t="shared" si="104"/>
        <v>3886</v>
      </c>
      <c r="G374" s="183"/>
      <c r="H374" s="139"/>
      <c r="I374" s="13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>
        <f t="shared" si="105"/>
        <v>0</v>
      </c>
      <c r="X374" s="138">
        <f t="shared" si="106"/>
        <v>3886</v>
      </c>
      <c r="Y374" s="186">
        <f t="shared" si="107"/>
        <v>31088</v>
      </c>
    </row>
    <row r="375" spans="1:25" ht="21.9" customHeight="1" x14ac:dyDescent="0.25">
      <c r="A375" s="168">
        <v>5</v>
      </c>
      <c r="B375" s="164" t="s">
        <v>272</v>
      </c>
      <c r="C375" s="163">
        <f>3+3</f>
        <v>6</v>
      </c>
      <c r="D375" s="163">
        <v>9</v>
      </c>
      <c r="E375" s="163">
        <v>2050</v>
      </c>
      <c r="F375" s="183">
        <f t="shared" si="104"/>
        <v>12300</v>
      </c>
      <c r="G375" s="183"/>
      <c r="H375" s="139"/>
      <c r="I375" s="13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>
        <f t="shared" si="105"/>
        <v>0</v>
      </c>
      <c r="X375" s="138">
        <f t="shared" si="106"/>
        <v>12300</v>
      </c>
      <c r="Y375" s="186">
        <f t="shared" si="107"/>
        <v>98400</v>
      </c>
    </row>
    <row r="376" spans="1:25" ht="21.9" customHeight="1" x14ac:dyDescent="0.25">
      <c r="A376" s="168">
        <v>6</v>
      </c>
      <c r="B376" s="164" t="s">
        <v>99</v>
      </c>
      <c r="C376" s="163">
        <f>9.5+0.5</f>
        <v>10</v>
      </c>
      <c r="D376" s="163">
        <v>9</v>
      </c>
      <c r="E376" s="163">
        <v>2050</v>
      </c>
      <c r="F376" s="183">
        <f t="shared" si="104"/>
        <v>20500</v>
      </c>
      <c r="G376" s="183"/>
      <c r="H376" s="139"/>
      <c r="I376" s="13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>
        <f t="shared" si="105"/>
        <v>0</v>
      </c>
      <c r="X376" s="138">
        <f t="shared" si="106"/>
        <v>20500</v>
      </c>
      <c r="Y376" s="186">
        <f t="shared" si="107"/>
        <v>164000</v>
      </c>
    </row>
    <row r="377" spans="1:25" ht="21.9" customHeight="1" x14ac:dyDescent="0.25">
      <c r="A377" s="168">
        <v>7</v>
      </c>
      <c r="B377" s="164" t="s">
        <v>119</v>
      </c>
      <c r="C377" s="163">
        <f>2+0.5</f>
        <v>2.5</v>
      </c>
      <c r="D377" s="163">
        <v>7</v>
      </c>
      <c r="E377" s="163">
        <v>1825</v>
      </c>
      <c r="F377" s="183">
        <f t="shared" si="104"/>
        <v>4562.5</v>
      </c>
      <c r="G377" s="183"/>
      <c r="H377" s="139"/>
      <c r="I377" s="13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>
        <f t="shared" si="105"/>
        <v>0</v>
      </c>
      <c r="X377" s="138">
        <f t="shared" si="106"/>
        <v>4562.5</v>
      </c>
      <c r="Y377" s="186">
        <f t="shared" si="107"/>
        <v>36500</v>
      </c>
    </row>
    <row r="378" spans="1:25" ht="21.9" customHeight="1" x14ac:dyDescent="0.25">
      <c r="A378" s="168">
        <v>8</v>
      </c>
      <c r="B378" s="164" t="s">
        <v>102</v>
      </c>
      <c r="C378" s="163">
        <v>2</v>
      </c>
      <c r="D378" s="163">
        <v>7</v>
      </c>
      <c r="E378" s="163">
        <v>1825</v>
      </c>
      <c r="F378" s="183">
        <f t="shared" si="104"/>
        <v>3650</v>
      </c>
      <c r="G378" s="183"/>
      <c r="H378" s="139"/>
      <c r="I378" s="13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>
        <f t="shared" si="105"/>
        <v>0</v>
      </c>
      <c r="X378" s="138">
        <f t="shared" si="106"/>
        <v>3650</v>
      </c>
      <c r="Y378" s="186">
        <f t="shared" si="107"/>
        <v>29200</v>
      </c>
    </row>
    <row r="379" spans="1:25" ht="21.9" customHeight="1" x14ac:dyDescent="0.25">
      <c r="A379" s="168">
        <v>9</v>
      </c>
      <c r="B379" s="164" t="s">
        <v>273</v>
      </c>
      <c r="C379" s="163">
        <v>1</v>
      </c>
      <c r="D379" s="163">
        <v>11</v>
      </c>
      <c r="E379" s="134">
        <v>2334</v>
      </c>
      <c r="F379" s="183">
        <f t="shared" si="104"/>
        <v>2334</v>
      </c>
      <c r="G379" s="183"/>
      <c r="H379" s="139"/>
      <c r="I379" s="59">
        <f>ROUNDUP(F379*20%,0)</f>
        <v>467</v>
      </c>
      <c r="J379" s="59"/>
      <c r="K379" s="59"/>
      <c r="L379" s="59"/>
      <c r="M379" s="59"/>
      <c r="N379" s="59">
        <f>ROUNDUP(F379*30%,0)</f>
        <v>701</v>
      </c>
      <c r="O379" s="59"/>
      <c r="P379" s="59"/>
      <c r="Q379" s="59"/>
      <c r="R379" s="59"/>
      <c r="S379" s="59">
        <f>ROUNDUP(F379*15%,0)</f>
        <v>351</v>
      </c>
      <c r="T379" s="59"/>
      <c r="U379" s="59"/>
      <c r="V379" s="59"/>
      <c r="W379" s="59">
        <f t="shared" si="105"/>
        <v>1519</v>
      </c>
      <c r="X379" s="138">
        <f t="shared" si="106"/>
        <v>3853</v>
      </c>
      <c r="Y379" s="186">
        <f t="shared" si="107"/>
        <v>30824</v>
      </c>
    </row>
    <row r="380" spans="1:25" ht="21.9" customHeight="1" x14ac:dyDescent="0.25">
      <c r="A380" s="168">
        <v>10</v>
      </c>
      <c r="B380" s="164" t="s">
        <v>274</v>
      </c>
      <c r="C380" s="163">
        <v>6</v>
      </c>
      <c r="D380" s="163">
        <v>11</v>
      </c>
      <c r="E380" s="134">
        <v>2334</v>
      </c>
      <c r="F380" s="183">
        <f t="shared" si="104"/>
        <v>14004</v>
      </c>
      <c r="G380" s="183"/>
      <c r="H380" s="139"/>
      <c r="I380" s="59">
        <f>ROUNDUP(F380*20%,0)</f>
        <v>2801</v>
      </c>
      <c r="J380" s="59"/>
      <c r="K380" s="59"/>
      <c r="L380" s="59"/>
      <c r="M380" s="59"/>
      <c r="N380" s="59">
        <f>ROUNDUP(F380*30%,0)</f>
        <v>4202</v>
      </c>
      <c r="O380" s="59"/>
      <c r="P380" s="59"/>
      <c r="Q380" s="59"/>
      <c r="R380" s="59"/>
      <c r="S380" s="59"/>
      <c r="T380" s="59"/>
      <c r="U380" s="59"/>
      <c r="V380" s="59"/>
      <c r="W380" s="59">
        <f t="shared" si="105"/>
        <v>7003</v>
      </c>
      <c r="X380" s="138">
        <f t="shared" si="106"/>
        <v>21007</v>
      </c>
      <c r="Y380" s="186">
        <f t="shared" si="107"/>
        <v>168056</v>
      </c>
    </row>
    <row r="381" spans="1:25" ht="21.9" customHeight="1" x14ac:dyDescent="0.25">
      <c r="A381" s="168">
        <v>11</v>
      </c>
      <c r="B381" s="164" t="s">
        <v>104</v>
      </c>
      <c r="C381" s="163">
        <v>3</v>
      </c>
      <c r="D381" s="163">
        <v>11</v>
      </c>
      <c r="E381" s="134">
        <v>2334</v>
      </c>
      <c r="F381" s="183">
        <f t="shared" si="104"/>
        <v>7002</v>
      </c>
      <c r="G381" s="183"/>
      <c r="H381" s="139"/>
      <c r="I381" s="59">
        <f>ROUNDUP(F381*20%,0)</f>
        <v>1401</v>
      </c>
      <c r="J381" s="59"/>
      <c r="K381" s="59"/>
      <c r="L381" s="59"/>
      <c r="M381" s="59"/>
      <c r="N381" s="59">
        <f>ROUNDUP(F381*30%,0)</f>
        <v>2101</v>
      </c>
      <c r="O381" s="59"/>
      <c r="P381" s="59"/>
      <c r="Q381" s="59"/>
      <c r="R381" s="59"/>
      <c r="S381" s="59"/>
      <c r="T381" s="59"/>
      <c r="U381" s="59"/>
      <c r="V381" s="59"/>
      <c r="W381" s="59">
        <f t="shared" si="105"/>
        <v>3502</v>
      </c>
      <c r="X381" s="138">
        <f t="shared" si="106"/>
        <v>10504</v>
      </c>
      <c r="Y381" s="186">
        <f t="shared" si="107"/>
        <v>84032</v>
      </c>
    </row>
    <row r="382" spans="1:25" ht="21.9" customHeight="1" x14ac:dyDescent="0.25">
      <c r="A382" s="168">
        <v>12</v>
      </c>
      <c r="B382" s="164" t="s">
        <v>112</v>
      </c>
      <c r="C382" s="163">
        <v>6.5</v>
      </c>
      <c r="D382" s="163">
        <v>4</v>
      </c>
      <c r="E382" s="134">
        <v>1543</v>
      </c>
      <c r="F382" s="183">
        <f t="shared" si="104"/>
        <v>10029.5</v>
      </c>
      <c r="G382" s="183"/>
      <c r="H382" s="139"/>
      <c r="I382" s="13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>
        <f t="shared" si="105"/>
        <v>0</v>
      </c>
      <c r="X382" s="138">
        <f t="shared" si="106"/>
        <v>10029.5</v>
      </c>
      <c r="Y382" s="186">
        <f t="shared" si="107"/>
        <v>80236</v>
      </c>
    </row>
    <row r="383" spans="1:25" ht="21.9" customHeight="1" x14ac:dyDescent="0.25">
      <c r="A383" s="168"/>
      <c r="B383" s="164"/>
      <c r="C383" s="189">
        <f>SUM(C371:C382)</f>
        <v>62.5</v>
      </c>
      <c r="D383" s="163"/>
      <c r="E383" s="189"/>
      <c r="F383" s="190">
        <f>SUM(F371:F382)</f>
        <v>127814.5</v>
      </c>
      <c r="G383" s="190"/>
      <c r="H383" s="198">
        <f t="shared" ref="H383:V383" si="108">SUM(H371:H382)</f>
        <v>0</v>
      </c>
      <c r="I383" s="198">
        <f t="shared" si="108"/>
        <v>4669</v>
      </c>
      <c r="J383" s="198">
        <f>SUM(J371:J382)</f>
        <v>0</v>
      </c>
      <c r="K383" s="198">
        <f t="shared" si="108"/>
        <v>0</v>
      </c>
      <c r="L383" s="198">
        <f t="shared" si="108"/>
        <v>0</v>
      </c>
      <c r="M383" s="198">
        <f t="shared" si="108"/>
        <v>0</v>
      </c>
      <c r="N383" s="198">
        <f t="shared" si="108"/>
        <v>7004</v>
      </c>
      <c r="O383" s="198">
        <f t="shared" si="108"/>
        <v>0</v>
      </c>
      <c r="P383" s="198">
        <f t="shared" si="108"/>
        <v>0</v>
      </c>
      <c r="Q383" s="198">
        <f t="shared" si="108"/>
        <v>0</v>
      </c>
      <c r="R383" s="198">
        <f t="shared" si="108"/>
        <v>0</v>
      </c>
      <c r="S383" s="198">
        <f t="shared" si="108"/>
        <v>351</v>
      </c>
      <c r="T383" s="198">
        <f t="shared" si="108"/>
        <v>0</v>
      </c>
      <c r="U383" s="198">
        <f t="shared" si="108"/>
        <v>0</v>
      </c>
      <c r="V383" s="198">
        <f t="shared" si="108"/>
        <v>0</v>
      </c>
      <c r="W383" s="190">
        <f>SUM(W371:W382)</f>
        <v>12024</v>
      </c>
      <c r="X383" s="143">
        <f>SUM(X371:X382)</f>
        <v>139838.5</v>
      </c>
      <c r="Y383" s="143">
        <f>SUM(Y371:Y382)</f>
        <v>1118708</v>
      </c>
    </row>
    <row r="384" spans="1:25" ht="18" customHeight="1" x14ac:dyDescent="0.25">
      <c r="A384" s="174" t="s">
        <v>275</v>
      </c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6"/>
      <c r="Y384" s="163"/>
    </row>
    <row r="385" spans="1:25" ht="18" customHeight="1" x14ac:dyDescent="0.25">
      <c r="A385" s="163">
        <v>1</v>
      </c>
      <c r="B385" s="164" t="s">
        <v>118</v>
      </c>
      <c r="C385" s="166">
        <v>1</v>
      </c>
      <c r="D385" s="166">
        <v>12</v>
      </c>
      <c r="E385" s="137">
        <v>2512</v>
      </c>
      <c r="F385" s="138">
        <f>E385*C385</f>
        <v>2512</v>
      </c>
      <c r="G385" s="138"/>
      <c r="H385" s="139"/>
      <c r="I385" s="13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139">
        <f>SUM(H385:V385)</f>
        <v>0</v>
      </c>
      <c r="X385" s="138">
        <f>C385*E385+W385</f>
        <v>2512</v>
      </c>
      <c r="Y385" s="186">
        <f>X385*8</f>
        <v>20096</v>
      </c>
    </row>
    <row r="386" spans="1:25" ht="18" customHeight="1" x14ac:dyDescent="0.25">
      <c r="A386" s="163">
        <v>2</v>
      </c>
      <c r="B386" s="164" t="s">
        <v>136</v>
      </c>
      <c r="C386" s="166">
        <v>1</v>
      </c>
      <c r="D386" s="166"/>
      <c r="E386" s="137">
        <v>2261</v>
      </c>
      <c r="F386" s="138">
        <f>E386*C386</f>
        <v>2261</v>
      </c>
      <c r="G386" s="138"/>
      <c r="H386" s="139"/>
      <c r="I386" s="13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139">
        <f>SUM(H386:V386)</f>
        <v>0</v>
      </c>
      <c r="X386" s="138">
        <f>C386*E386+W386</f>
        <v>2261</v>
      </c>
      <c r="Y386" s="186">
        <f>X386*8</f>
        <v>18088</v>
      </c>
    </row>
    <row r="387" spans="1:25" ht="18" customHeight="1" x14ac:dyDescent="0.25">
      <c r="A387" s="163">
        <v>3</v>
      </c>
      <c r="B387" s="164" t="s">
        <v>99</v>
      </c>
      <c r="C387" s="166">
        <f>5-0.25</f>
        <v>4.75</v>
      </c>
      <c r="D387" s="166">
        <v>9</v>
      </c>
      <c r="E387" s="137">
        <v>2050</v>
      </c>
      <c r="F387" s="138">
        <f>E387*C387</f>
        <v>9737.5</v>
      </c>
      <c r="G387" s="138"/>
      <c r="H387" s="139"/>
      <c r="I387" s="13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139">
        <f>SUM(H387:V387)</f>
        <v>0</v>
      </c>
      <c r="X387" s="138">
        <f>C387*E387+W387</f>
        <v>9737.5</v>
      </c>
      <c r="Y387" s="186">
        <f>X387*8</f>
        <v>77900</v>
      </c>
    </row>
    <row r="388" spans="1:25" ht="18" customHeight="1" x14ac:dyDescent="0.25">
      <c r="A388" s="163"/>
      <c r="B388" s="164"/>
      <c r="C388" s="189">
        <f>SUM(C385:C387)</f>
        <v>6.75</v>
      </c>
      <c r="D388" s="189"/>
      <c r="E388" s="189"/>
      <c r="F388" s="190">
        <f>SUM(F385:F387)</f>
        <v>14510.5</v>
      </c>
      <c r="G388" s="190"/>
      <c r="H388" s="189">
        <f t="shared" ref="H388:V388" si="109">SUM(H385:H387)</f>
        <v>0</v>
      </c>
      <c r="I388" s="189">
        <f t="shared" si="109"/>
        <v>0</v>
      </c>
      <c r="J388" s="189">
        <f t="shared" si="109"/>
        <v>0</v>
      </c>
      <c r="K388" s="189">
        <f t="shared" si="109"/>
        <v>0</v>
      </c>
      <c r="L388" s="189">
        <f t="shared" si="109"/>
        <v>0</v>
      </c>
      <c r="M388" s="189">
        <f t="shared" si="109"/>
        <v>0</v>
      </c>
      <c r="N388" s="189">
        <f t="shared" si="109"/>
        <v>0</v>
      </c>
      <c r="O388" s="189">
        <f t="shared" si="109"/>
        <v>0</v>
      </c>
      <c r="P388" s="189">
        <f t="shared" si="109"/>
        <v>0</v>
      </c>
      <c r="Q388" s="189">
        <f t="shared" si="109"/>
        <v>0</v>
      </c>
      <c r="R388" s="189">
        <f t="shared" si="109"/>
        <v>0</v>
      </c>
      <c r="S388" s="189">
        <f t="shared" si="109"/>
        <v>0</v>
      </c>
      <c r="T388" s="189">
        <f t="shared" si="109"/>
        <v>0</v>
      </c>
      <c r="U388" s="189">
        <f t="shared" si="109"/>
        <v>0</v>
      </c>
      <c r="V388" s="189">
        <f t="shared" si="109"/>
        <v>0</v>
      </c>
      <c r="W388" s="139">
        <f>SUM(H388:V388)</f>
        <v>0</v>
      </c>
      <c r="X388" s="143">
        <f>SUM(X385:X387)</f>
        <v>14510.5</v>
      </c>
      <c r="Y388" s="143">
        <f>SUM(Y385:Y387)</f>
        <v>116084</v>
      </c>
    </row>
    <row r="389" spans="1:25" ht="18" customHeight="1" x14ac:dyDescent="0.25">
      <c r="A389" s="174" t="s">
        <v>276</v>
      </c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6"/>
    </row>
    <row r="390" spans="1:25" ht="21" customHeight="1" x14ac:dyDescent="0.25">
      <c r="A390" s="163">
        <v>1</v>
      </c>
      <c r="B390" s="164" t="s">
        <v>229</v>
      </c>
      <c r="C390" s="163">
        <v>1</v>
      </c>
      <c r="D390" s="163">
        <v>10</v>
      </c>
      <c r="E390" s="134">
        <v>2157</v>
      </c>
      <c r="F390" s="183">
        <f t="shared" ref="F390:F412" si="110">E390*C390</f>
        <v>2157</v>
      </c>
      <c r="G390" s="183"/>
      <c r="H390" s="183"/>
      <c r="I390" s="183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139">
        <f t="shared" ref="W390:W412" si="111">SUM(H390:V390)</f>
        <v>0</v>
      </c>
      <c r="X390" s="138">
        <f t="shared" ref="X390:X412" si="112">C390*E390+W390</f>
        <v>2157</v>
      </c>
      <c r="Y390" s="186">
        <f>X390*8</f>
        <v>17256</v>
      </c>
    </row>
    <row r="391" spans="1:25" ht="21" customHeight="1" x14ac:dyDescent="0.25">
      <c r="A391" s="163">
        <v>2</v>
      </c>
      <c r="B391" s="164" t="s">
        <v>155</v>
      </c>
      <c r="C391" s="163">
        <v>1</v>
      </c>
      <c r="D391" s="163">
        <v>9</v>
      </c>
      <c r="E391" s="134">
        <v>2050</v>
      </c>
      <c r="F391" s="183">
        <f t="shared" si="110"/>
        <v>2050</v>
      </c>
      <c r="G391" s="183"/>
      <c r="H391" s="183"/>
      <c r="I391" s="183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139">
        <f t="shared" si="111"/>
        <v>0</v>
      </c>
      <c r="X391" s="138">
        <f t="shared" si="112"/>
        <v>2050</v>
      </c>
      <c r="Y391" s="186">
        <f t="shared" ref="Y391:Y412" si="113">X391*8</f>
        <v>16400</v>
      </c>
    </row>
    <row r="392" spans="1:25" ht="21" customHeight="1" x14ac:dyDescent="0.25">
      <c r="A392" s="163">
        <v>3</v>
      </c>
      <c r="B392" s="164" t="s">
        <v>277</v>
      </c>
      <c r="C392" s="163">
        <v>2</v>
      </c>
      <c r="D392" s="163">
        <v>2</v>
      </c>
      <c r="E392" s="134">
        <v>1521</v>
      </c>
      <c r="F392" s="183">
        <f t="shared" si="110"/>
        <v>3042</v>
      </c>
      <c r="G392" s="183"/>
      <c r="H392" s="183"/>
      <c r="I392" s="183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139">
        <f t="shared" si="111"/>
        <v>0</v>
      </c>
      <c r="X392" s="138">
        <f t="shared" si="112"/>
        <v>3042</v>
      </c>
      <c r="Y392" s="186">
        <f t="shared" si="113"/>
        <v>24336</v>
      </c>
    </row>
    <row r="393" spans="1:25" ht="21" customHeight="1" x14ac:dyDescent="0.25">
      <c r="A393" s="163">
        <v>4</v>
      </c>
      <c r="B393" s="164" t="s">
        <v>278</v>
      </c>
      <c r="C393" s="163">
        <v>3</v>
      </c>
      <c r="D393" s="163">
        <v>2</v>
      </c>
      <c r="E393" s="134">
        <v>1521</v>
      </c>
      <c r="F393" s="183">
        <f t="shared" si="110"/>
        <v>4563</v>
      </c>
      <c r="G393" s="183"/>
      <c r="H393" s="183"/>
      <c r="I393" s="183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139">
        <f t="shared" si="111"/>
        <v>0</v>
      </c>
      <c r="X393" s="138">
        <f t="shared" si="112"/>
        <v>4563</v>
      </c>
      <c r="Y393" s="186">
        <f t="shared" si="113"/>
        <v>36504</v>
      </c>
    </row>
    <row r="394" spans="1:25" ht="21" customHeight="1" x14ac:dyDescent="0.25">
      <c r="A394" s="163">
        <v>5</v>
      </c>
      <c r="B394" s="164" t="s">
        <v>190</v>
      </c>
      <c r="C394" s="163">
        <v>1</v>
      </c>
      <c r="D394" s="163">
        <v>4</v>
      </c>
      <c r="E394" s="134">
        <v>1543</v>
      </c>
      <c r="F394" s="183">
        <f t="shared" si="110"/>
        <v>1543</v>
      </c>
      <c r="G394" s="183"/>
      <c r="H394" s="183"/>
      <c r="I394" s="183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139">
        <f t="shared" si="111"/>
        <v>0</v>
      </c>
      <c r="X394" s="138">
        <f t="shared" si="112"/>
        <v>1543</v>
      </c>
      <c r="Y394" s="186">
        <f t="shared" si="113"/>
        <v>12344</v>
      </c>
    </row>
    <row r="395" spans="1:25" ht="21" customHeight="1" x14ac:dyDescent="0.25">
      <c r="A395" s="163">
        <v>6</v>
      </c>
      <c r="B395" s="164" t="s">
        <v>202</v>
      </c>
      <c r="C395" s="163">
        <v>1</v>
      </c>
      <c r="D395" s="163">
        <v>4</v>
      </c>
      <c r="E395" s="134">
        <v>1543</v>
      </c>
      <c r="F395" s="183">
        <f t="shared" si="110"/>
        <v>1543</v>
      </c>
      <c r="G395" s="183"/>
      <c r="H395" s="183"/>
      <c r="I395" s="183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139">
        <f t="shared" si="111"/>
        <v>0</v>
      </c>
      <c r="X395" s="138">
        <f t="shared" si="112"/>
        <v>1543</v>
      </c>
      <c r="Y395" s="186">
        <f t="shared" si="113"/>
        <v>12344</v>
      </c>
    </row>
    <row r="396" spans="1:25" ht="20.399999999999999" customHeight="1" x14ac:dyDescent="0.25">
      <c r="A396" s="163">
        <v>7</v>
      </c>
      <c r="B396" s="226" t="s">
        <v>279</v>
      </c>
      <c r="C396" s="163">
        <v>1</v>
      </c>
      <c r="D396" s="163">
        <v>5</v>
      </c>
      <c r="E396" s="134">
        <v>1612</v>
      </c>
      <c r="F396" s="183">
        <f t="shared" si="110"/>
        <v>1612</v>
      </c>
      <c r="G396" s="183"/>
      <c r="H396" s="183"/>
      <c r="I396" s="183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139">
        <f t="shared" si="111"/>
        <v>0</v>
      </c>
      <c r="X396" s="138">
        <f t="shared" si="112"/>
        <v>1612</v>
      </c>
      <c r="Y396" s="186">
        <f t="shared" si="113"/>
        <v>12896</v>
      </c>
    </row>
    <row r="397" spans="1:25" ht="18.75" customHeight="1" x14ac:dyDescent="0.25">
      <c r="A397" s="163">
        <v>8</v>
      </c>
      <c r="B397" s="194" t="s">
        <v>212</v>
      </c>
      <c r="C397" s="163">
        <v>1</v>
      </c>
      <c r="D397" s="163">
        <v>5</v>
      </c>
      <c r="E397" s="134">
        <v>1612</v>
      </c>
      <c r="F397" s="183">
        <f>E397*C397</f>
        <v>1612</v>
      </c>
      <c r="G397" s="183"/>
      <c r="H397" s="183"/>
      <c r="I397" s="183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139">
        <f t="shared" si="111"/>
        <v>0</v>
      </c>
      <c r="X397" s="138">
        <f t="shared" si="112"/>
        <v>1612</v>
      </c>
      <c r="Y397" s="186">
        <f t="shared" si="113"/>
        <v>12896</v>
      </c>
    </row>
    <row r="398" spans="1:25" ht="18.75" customHeight="1" x14ac:dyDescent="0.25">
      <c r="A398" s="163">
        <v>9</v>
      </c>
      <c r="B398" s="164" t="s">
        <v>178</v>
      </c>
      <c r="C398" s="163">
        <v>1</v>
      </c>
      <c r="D398" s="163">
        <v>5</v>
      </c>
      <c r="E398" s="134">
        <v>1612</v>
      </c>
      <c r="F398" s="183">
        <f t="shared" si="110"/>
        <v>1612</v>
      </c>
      <c r="G398" s="183"/>
      <c r="H398" s="183"/>
      <c r="I398" s="183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139">
        <f t="shared" si="111"/>
        <v>0</v>
      </c>
      <c r="X398" s="138">
        <f t="shared" si="112"/>
        <v>1612</v>
      </c>
      <c r="Y398" s="186">
        <f t="shared" si="113"/>
        <v>12896</v>
      </c>
    </row>
    <row r="399" spans="1:25" ht="18.75" customHeight="1" x14ac:dyDescent="0.25">
      <c r="A399" s="163">
        <v>10</v>
      </c>
      <c r="B399" s="164" t="s">
        <v>179</v>
      </c>
      <c r="C399" s="163">
        <v>1</v>
      </c>
      <c r="D399" s="163">
        <v>4</v>
      </c>
      <c r="E399" s="134">
        <v>1543</v>
      </c>
      <c r="F399" s="183">
        <f t="shared" si="110"/>
        <v>1543</v>
      </c>
      <c r="G399" s="183"/>
      <c r="H399" s="183"/>
      <c r="I399" s="183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139">
        <f t="shared" si="111"/>
        <v>0</v>
      </c>
      <c r="X399" s="138">
        <f t="shared" si="112"/>
        <v>1543</v>
      </c>
      <c r="Y399" s="186">
        <f t="shared" si="113"/>
        <v>12344</v>
      </c>
    </row>
    <row r="400" spans="1:25" ht="18.75" customHeight="1" x14ac:dyDescent="0.25">
      <c r="A400" s="163">
        <v>11</v>
      </c>
      <c r="B400" s="164" t="s">
        <v>183</v>
      </c>
      <c r="C400" s="163">
        <v>4</v>
      </c>
      <c r="D400" s="163">
        <v>5</v>
      </c>
      <c r="E400" s="134">
        <v>1612</v>
      </c>
      <c r="F400" s="183">
        <f t="shared" si="110"/>
        <v>6448</v>
      </c>
      <c r="G400" s="183"/>
      <c r="H400" s="183"/>
      <c r="I400" s="183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139">
        <f t="shared" si="111"/>
        <v>0</v>
      </c>
      <c r="X400" s="138">
        <f t="shared" si="112"/>
        <v>6448</v>
      </c>
      <c r="Y400" s="186">
        <f t="shared" si="113"/>
        <v>51584</v>
      </c>
    </row>
    <row r="401" spans="1:29" ht="18.75" customHeight="1" x14ac:dyDescent="0.25">
      <c r="A401" s="163">
        <v>12</v>
      </c>
      <c r="B401" s="164" t="s">
        <v>280</v>
      </c>
      <c r="C401" s="163">
        <v>7</v>
      </c>
      <c r="D401" s="163">
        <v>4</v>
      </c>
      <c r="E401" s="134">
        <v>1543</v>
      </c>
      <c r="F401" s="183">
        <f t="shared" si="110"/>
        <v>10801</v>
      </c>
      <c r="G401" s="183"/>
      <c r="H401" s="183"/>
      <c r="I401" s="183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139">
        <f t="shared" si="111"/>
        <v>0</v>
      </c>
      <c r="X401" s="138">
        <f t="shared" si="112"/>
        <v>10801</v>
      </c>
      <c r="Y401" s="186">
        <f t="shared" si="113"/>
        <v>86408</v>
      </c>
    </row>
    <row r="402" spans="1:29" ht="18.75" customHeight="1" x14ac:dyDescent="0.25">
      <c r="A402" s="163">
        <v>13</v>
      </c>
      <c r="B402" s="164" t="s">
        <v>281</v>
      </c>
      <c r="C402" s="163">
        <v>1</v>
      </c>
      <c r="D402" s="163">
        <v>3</v>
      </c>
      <c r="E402" s="134">
        <v>1532</v>
      </c>
      <c r="F402" s="183">
        <f t="shared" si="110"/>
        <v>1532</v>
      </c>
      <c r="G402" s="183"/>
      <c r="H402" s="183"/>
      <c r="I402" s="183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139">
        <f t="shared" si="111"/>
        <v>0</v>
      </c>
      <c r="X402" s="138">
        <f t="shared" si="112"/>
        <v>1532</v>
      </c>
      <c r="Y402" s="186">
        <f t="shared" si="113"/>
        <v>12256</v>
      </c>
    </row>
    <row r="403" spans="1:29" ht="18.75" customHeight="1" x14ac:dyDescent="0.25">
      <c r="A403" s="163">
        <v>14</v>
      </c>
      <c r="B403" s="164" t="s">
        <v>282</v>
      </c>
      <c r="C403" s="163">
        <v>1</v>
      </c>
      <c r="D403" s="163">
        <v>5</v>
      </c>
      <c r="E403" s="134">
        <v>1612</v>
      </c>
      <c r="F403" s="183">
        <f t="shared" si="110"/>
        <v>1612</v>
      </c>
      <c r="G403" s="183"/>
      <c r="H403" s="183"/>
      <c r="I403" s="183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139">
        <f t="shared" si="111"/>
        <v>0</v>
      </c>
      <c r="X403" s="138">
        <f t="shared" si="112"/>
        <v>1612</v>
      </c>
      <c r="Y403" s="186">
        <f t="shared" si="113"/>
        <v>12896</v>
      </c>
    </row>
    <row r="404" spans="1:29" ht="18.75" customHeight="1" x14ac:dyDescent="0.25">
      <c r="A404" s="163">
        <v>15</v>
      </c>
      <c r="B404" s="164" t="s">
        <v>283</v>
      </c>
      <c r="C404" s="163">
        <v>1</v>
      </c>
      <c r="D404" s="163">
        <v>4</v>
      </c>
      <c r="E404" s="134">
        <v>1543</v>
      </c>
      <c r="F404" s="183">
        <f t="shared" si="110"/>
        <v>1543</v>
      </c>
      <c r="G404" s="183"/>
      <c r="H404" s="183"/>
      <c r="I404" s="183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139">
        <f t="shared" si="111"/>
        <v>0</v>
      </c>
      <c r="X404" s="138">
        <f t="shared" si="112"/>
        <v>1543</v>
      </c>
      <c r="Y404" s="186">
        <f t="shared" si="113"/>
        <v>12344</v>
      </c>
    </row>
    <row r="405" spans="1:29" ht="18.75" customHeight="1" x14ac:dyDescent="0.25">
      <c r="A405" s="163">
        <v>16</v>
      </c>
      <c r="B405" s="164" t="s">
        <v>132</v>
      </c>
      <c r="C405" s="163">
        <v>4</v>
      </c>
      <c r="D405" s="163">
        <v>11</v>
      </c>
      <c r="E405" s="134">
        <v>2334</v>
      </c>
      <c r="F405" s="183">
        <f t="shared" si="110"/>
        <v>9336</v>
      </c>
      <c r="G405" s="183"/>
      <c r="H405" s="183"/>
      <c r="I405" s="59">
        <f>ROUNDUP(F405*20%,0)</f>
        <v>1868</v>
      </c>
      <c r="J405" s="59"/>
      <c r="K405" s="59"/>
      <c r="L405" s="59"/>
      <c r="M405" s="59"/>
      <c r="N405" s="59">
        <f>ROUNDUP(F405*30%,0)</f>
        <v>2801</v>
      </c>
      <c r="O405" s="59"/>
      <c r="P405" s="59"/>
      <c r="Q405" s="59"/>
      <c r="R405" s="59"/>
      <c r="S405" s="59"/>
      <c r="T405" s="59"/>
      <c r="U405" s="59"/>
      <c r="V405" s="59"/>
      <c r="W405" s="139">
        <f t="shared" si="111"/>
        <v>4669</v>
      </c>
      <c r="X405" s="138">
        <f t="shared" si="112"/>
        <v>14005</v>
      </c>
      <c r="Y405" s="186">
        <f t="shared" si="113"/>
        <v>112040</v>
      </c>
    </row>
    <row r="406" spans="1:29" ht="18.75" customHeight="1" x14ac:dyDescent="0.25">
      <c r="A406" s="163">
        <v>17</v>
      </c>
      <c r="B406" s="164" t="s">
        <v>98</v>
      </c>
      <c r="C406" s="163">
        <v>1</v>
      </c>
      <c r="D406" s="163">
        <v>10</v>
      </c>
      <c r="E406" s="134">
        <v>2157</v>
      </c>
      <c r="F406" s="183">
        <f t="shared" si="110"/>
        <v>2157</v>
      </c>
      <c r="G406" s="183"/>
      <c r="H406" s="183"/>
      <c r="I406" s="183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139">
        <f t="shared" si="111"/>
        <v>0</v>
      </c>
      <c r="X406" s="138">
        <f t="shared" si="112"/>
        <v>2157</v>
      </c>
      <c r="Y406" s="186">
        <f t="shared" si="113"/>
        <v>17256</v>
      </c>
    </row>
    <row r="407" spans="1:29" ht="18.75" customHeight="1" x14ac:dyDescent="0.25">
      <c r="A407" s="163">
        <v>18</v>
      </c>
      <c r="B407" s="164" t="s">
        <v>99</v>
      </c>
      <c r="C407" s="163">
        <v>5</v>
      </c>
      <c r="D407" s="163">
        <v>9</v>
      </c>
      <c r="E407" s="134">
        <v>2050</v>
      </c>
      <c r="F407" s="183">
        <f t="shared" si="110"/>
        <v>10250</v>
      </c>
      <c r="G407" s="183"/>
      <c r="H407" s="183"/>
      <c r="I407" s="183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139">
        <f t="shared" si="111"/>
        <v>0</v>
      </c>
      <c r="X407" s="138">
        <f t="shared" si="112"/>
        <v>10250</v>
      </c>
      <c r="Y407" s="186">
        <f t="shared" si="113"/>
        <v>82000</v>
      </c>
    </row>
    <row r="408" spans="1:29" ht="18.75" customHeight="1" x14ac:dyDescent="0.25">
      <c r="A408" s="163">
        <v>19</v>
      </c>
      <c r="B408" s="164" t="s">
        <v>100</v>
      </c>
      <c r="C408" s="163">
        <v>1</v>
      </c>
      <c r="D408" s="163">
        <v>8</v>
      </c>
      <c r="E408" s="134">
        <v>1943</v>
      </c>
      <c r="F408" s="183">
        <f t="shared" si="110"/>
        <v>1943</v>
      </c>
      <c r="G408" s="183"/>
      <c r="H408" s="183"/>
      <c r="I408" s="183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139">
        <f t="shared" si="111"/>
        <v>0</v>
      </c>
      <c r="X408" s="138">
        <f t="shared" si="112"/>
        <v>1943</v>
      </c>
      <c r="Y408" s="186">
        <f t="shared" si="113"/>
        <v>15544</v>
      </c>
    </row>
    <row r="409" spans="1:29" ht="18.75" customHeight="1" x14ac:dyDescent="0.25">
      <c r="A409" s="163">
        <v>20</v>
      </c>
      <c r="B409" s="164" t="s">
        <v>119</v>
      </c>
      <c r="C409" s="163">
        <v>1</v>
      </c>
      <c r="D409" s="163">
        <v>7</v>
      </c>
      <c r="E409" s="134">
        <v>1825</v>
      </c>
      <c r="F409" s="183">
        <f t="shared" si="110"/>
        <v>1825</v>
      </c>
      <c r="G409" s="183"/>
      <c r="H409" s="183"/>
      <c r="I409" s="183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139">
        <f t="shared" si="111"/>
        <v>0</v>
      </c>
      <c r="X409" s="138">
        <f t="shared" si="112"/>
        <v>1825</v>
      </c>
      <c r="Y409" s="186">
        <f t="shared" si="113"/>
        <v>14600</v>
      </c>
    </row>
    <row r="410" spans="1:29" ht="18.75" customHeight="1" x14ac:dyDescent="0.25">
      <c r="A410" s="163">
        <v>21</v>
      </c>
      <c r="B410" s="164" t="s">
        <v>102</v>
      </c>
      <c r="C410" s="163">
        <v>1</v>
      </c>
      <c r="D410" s="163">
        <v>7</v>
      </c>
      <c r="E410" s="134">
        <v>1825</v>
      </c>
      <c r="F410" s="183">
        <f t="shared" si="110"/>
        <v>1825</v>
      </c>
      <c r="G410" s="183"/>
      <c r="H410" s="183"/>
      <c r="I410" s="183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139">
        <f t="shared" si="111"/>
        <v>0</v>
      </c>
      <c r="X410" s="138">
        <f t="shared" si="112"/>
        <v>1825</v>
      </c>
      <c r="Y410" s="186">
        <f t="shared" si="113"/>
        <v>14600</v>
      </c>
    </row>
    <row r="411" spans="1:29" ht="18.75" customHeight="1" x14ac:dyDescent="0.25">
      <c r="A411" s="163">
        <v>22</v>
      </c>
      <c r="B411" s="164" t="s">
        <v>284</v>
      </c>
      <c r="C411" s="163">
        <v>0.5</v>
      </c>
      <c r="D411" s="163">
        <v>5</v>
      </c>
      <c r="E411" s="134">
        <v>1612</v>
      </c>
      <c r="F411" s="183">
        <f t="shared" si="110"/>
        <v>806</v>
      </c>
      <c r="G411" s="183"/>
      <c r="H411" s="183"/>
      <c r="I411" s="183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139">
        <f t="shared" si="111"/>
        <v>0</v>
      </c>
      <c r="X411" s="138">
        <f t="shared" si="112"/>
        <v>806</v>
      </c>
      <c r="Y411" s="186">
        <f t="shared" si="113"/>
        <v>6448</v>
      </c>
    </row>
    <row r="412" spans="1:29" ht="18.75" customHeight="1" x14ac:dyDescent="0.25">
      <c r="A412" s="163">
        <v>23</v>
      </c>
      <c r="B412" s="164" t="s">
        <v>104</v>
      </c>
      <c r="C412" s="163">
        <v>5</v>
      </c>
      <c r="D412" s="163">
        <v>11</v>
      </c>
      <c r="E412" s="134">
        <v>2334</v>
      </c>
      <c r="F412" s="183">
        <f t="shared" si="110"/>
        <v>11670</v>
      </c>
      <c r="G412" s="183"/>
      <c r="H412" s="183"/>
      <c r="I412" s="59">
        <f>ROUNDUP(F412*20%,0)</f>
        <v>2334</v>
      </c>
      <c r="J412" s="59"/>
      <c r="K412" s="59"/>
      <c r="L412" s="59"/>
      <c r="M412" s="59"/>
      <c r="N412" s="59">
        <f>ROUNDUP(F412*30%,0)</f>
        <v>3501</v>
      </c>
      <c r="O412" s="59"/>
      <c r="P412" s="59"/>
      <c r="Q412" s="59"/>
      <c r="R412" s="59"/>
      <c r="S412" s="59"/>
      <c r="T412" s="59"/>
      <c r="U412" s="59"/>
      <c r="V412" s="59"/>
      <c r="W412" s="139">
        <f t="shared" si="111"/>
        <v>5835</v>
      </c>
      <c r="X412" s="138">
        <f t="shared" si="112"/>
        <v>17505</v>
      </c>
      <c r="Y412" s="186">
        <f t="shared" si="113"/>
        <v>140040</v>
      </c>
    </row>
    <row r="413" spans="1:29" ht="18.75" customHeight="1" x14ac:dyDescent="0.25">
      <c r="A413" s="163"/>
      <c r="B413" s="164"/>
      <c r="C413" s="189">
        <f>SUM(C390:C412)</f>
        <v>45.5</v>
      </c>
      <c r="D413" s="189"/>
      <c r="E413" s="189"/>
      <c r="F413" s="190">
        <f t="shared" ref="F413:W413" si="114">SUM(F390:F412)</f>
        <v>83025</v>
      </c>
      <c r="G413" s="190"/>
      <c r="H413" s="189">
        <f t="shared" si="114"/>
        <v>0</v>
      </c>
      <c r="I413" s="189">
        <f t="shared" si="114"/>
        <v>4202</v>
      </c>
      <c r="J413" s="189">
        <f t="shared" si="114"/>
        <v>0</v>
      </c>
      <c r="K413" s="189">
        <f t="shared" si="114"/>
        <v>0</v>
      </c>
      <c r="L413" s="189">
        <f t="shared" si="114"/>
        <v>0</v>
      </c>
      <c r="M413" s="189">
        <f t="shared" si="114"/>
        <v>0</v>
      </c>
      <c r="N413" s="189">
        <f t="shared" si="114"/>
        <v>6302</v>
      </c>
      <c r="O413" s="189">
        <f t="shared" si="114"/>
        <v>0</v>
      </c>
      <c r="P413" s="189">
        <f t="shared" si="114"/>
        <v>0</v>
      </c>
      <c r="Q413" s="189">
        <f t="shared" si="114"/>
        <v>0</v>
      </c>
      <c r="R413" s="189">
        <f t="shared" si="114"/>
        <v>0</v>
      </c>
      <c r="S413" s="189">
        <f t="shared" si="114"/>
        <v>0</v>
      </c>
      <c r="T413" s="189">
        <f t="shared" si="114"/>
        <v>0</v>
      </c>
      <c r="U413" s="189">
        <f t="shared" si="114"/>
        <v>0</v>
      </c>
      <c r="V413" s="189">
        <f t="shared" si="114"/>
        <v>0</v>
      </c>
      <c r="W413" s="189">
        <f t="shared" si="114"/>
        <v>10504</v>
      </c>
      <c r="X413" s="143">
        <f>SUM(X390:X412)</f>
        <v>93529</v>
      </c>
      <c r="Y413" s="143">
        <f>SUM(Y390:Y412)</f>
        <v>748232</v>
      </c>
    </row>
    <row r="414" spans="1:29" ht="36.75" customHeight="1" x14ac:dyDescent="0.25">
      <c r="A414" s="163"/>
      <c r="B414" s="236" t="s">
        <v>285</v>
      </c>
      <c r="C414" s="143">
        <f>C383+C413+C369+C361+C356+C351+C179+C303+C236+C103+C249+C243+C348+C319+C388+C232+C296+C284+C227+C217+C189+C175+C169+C164+C153+C147+C142+C133+C126+C114+C98+C92+C86+C79+C74+C67+C62+C52+C196</f>
        <v>1989.8</v>
      </c>
      <c r="D414" s="143"/>
      <c r="E414" s="143"/>
      <c r="F414" s="143">
        <f t="shared" ref="F414:AC414" si="115">F383+F413+F369+F361+F356+F351+F179+F303+F236+F103+F249+F243+F348+F319+F388+F232+F296+F284+F227+F217+F189+F175+F169+F164+F153+F147+F142+F133+F126+F114+F98+F92+F86+F79+F74+F67+F62+F52+F196</f>
        <v>3708775</v>
      </c>
      <c r="G414" s="216">
        <f t="shared" si="115"/>
        <v>0</v>
      </c>
      <c r="H414" s="216">
        <f t="shared" si="115"/>
        <v>66908</v>
      </c>
      <c r="I414" s="216">
        <f t="shared" si="115"/>
        <v>97923</v>
      </c>
      <c r="J414" s="216">
        <f t="shared" si="115"/>
        <v>0</v>
      </c>
      <c r="K414" s="216">
        <f t="shared" si="115"/>
        <v>0</v>
      </c>
      <c r="L414" s="216">
        <f t="shared" si="115"/>
        <v>0</v>
      </c>
      <c r="M414" s="216">
        <f t="shared" si="115"/>
        <v>0</v>
      </c>
      <c r="N414" s="216">
        <f t="shared" si="115"/>
        <v>187032</v>
      </c>
      <c r="O414" s="216">
        <f t="shared" si="115"/>
        <v>0</v>
      </c>
      <c r="P414" s="216">
        <f t="shared" si="115"/>
        <v>0</v>
      </c>
      <c r="Q414" s="216">
        <f t="shared" si="115"/>
        <v>1902</v>
      </c>
      <c r="R414" s="216">
        <f t="shared" si="115"/>
        <v>0</v>
      </c>
      <c r="S414" s="216">
        <f t="shared" si="115"/>
        <v>2571</v>
      </c>
      <c r="T414" s="216">
        <f t="shared" si="115"/>
        <v>18178</v>
      </c>
      <c r="U414" s="216">
        <f t="shared" si="115"/>
        <v>0</v>
      </c>
      <c r="V414" s="216">
        <f t="shared" si="115"/>
        <v>51253</v>
      </c>
      <c r="W414" s="216">
        <f t="shared" si="115"/>
        <v>425767</v>
      </c>
      <c r="X414" s="143">
        <f t="shared" si="115"/>
        <v>4134542</v>
      </c>
      <c r="Y414" s="143">
        <f t="shared" si="115"/>
        <v>33076336</v>
      </c>
      <c r="Z414" s="143">
        <f t="shared" ca="1" si="115"/>
        <v>1989.8</v>
      </c>
      <c r="AA414" s="143">
        <f t="shared" ca="1" si="115"/>
        <v>0</v>
      </c>
      <c r="AB414" s="143">
        <f t="shared" ca="1" si="115"/>
        <v>0</v>
      </c>
      <c r="AC414" s="143">
        <f t="shared" ca="1" si="115"/>
        <v>0</v>
      </c>
    </row>
    <row r="415" spans="1:29" ht="24" customHeight="1" x14ac:dyDescent="0.25">
      <c r="A415" s="163"/>
      <c r="B415" s="236" t="s">
        <v>286</v>
      </c>
      <c r="C415" s="190">
        <f>C414+C37+C25</f>
        <v>3078.1</v>
      </c>
      <c r="D415" s="197"/>
      <c r="E415" s="197"/>
      <c r="F415" s="237">
        <f t="shared" ref="F415:Y415" si="116">F414+F37+F25</f>
        <v>8039414</v>
      </c>
      <c r="G415" s="237">
        <f t="shared" si="116"/>
        <v>2584</v>
      </c>
      <c r="H415" s="238">
        <f t="shared" si="116"/>
        <v>66908</v>
      </c>
      <c r="I415" s="238">
        <f t="shared" si="116"/>
        <v>97923</v>
      </c>
      <c r="J415" s="238">
        <f t="shared" si="116"/>
        <v>0</v>
      </c>
      <c r="K415" s="238">
        <f t="shared" si="116"/>
        <v>23721</v>
      </c>
      <c r="L415" s="238">
        <f t="shared" si="116"/>
        <v>22589</v>
      </c>
      <c r="M415" s="238">
        <f t="shared" si="116"/>
        <v>0</v>
      </c>
      <c r="N415" s="238">
        <f t="shared" si="116"/>
        <v>1419250</v>
      </c>
      <c r="O415" s="238">
        <f t="shared" si="116"/>
        <v>43566</v>
      </c>
      <c r="P415" s="237">
        <f t="shared" si="116"/>
        <v>270533</v>
      </c>
      <c r="Q415" s="238">
        <f t="shared" si="116"/>
        <v>532173</v>
      </c>
      <c r="R415" s="237">
        <f t="shared" si="116"/>
        <v>168633</v>
      </c>
      <c r="S415" s="237">
        <f t="shared" si="116"/>
        <v>384947</v>
      </c>
      <c r="T415" s="238">
        <f t="shared" si="116"/>
        <v>18178</v>
      </c>
      <c r="U415" s="238">
        <f t="shared" si="116"/>
        <v>9728</v>
      </c>
      <c r="V415" s="238">
        <f t="shared" si="116"/>
        <v>51253</v>
      </c>
      <c r="W415" s="237">
        <f t="shared" si="116"/>
        <v>3111986</v>
      </c>
      <c r="X415" s="237">
        <f t="shared" si="116"/>
        <v>11151400</v>
      </c>
      <c r="Y415" s="237">
        <f t="shared" si="116"/>
        <v>89211200</v>
      </c>
    </row>
    <row r="416" spans="1:29" ht="24" customHeight="1" x14ac:dyDescent="0.25">
      <c r="A416" s="163"/>
      <c r="B416" s="236" t="s">
        <v>41</v>
      </c>
      <c r="C416" s="190"/>
      <c r="D416" s="197"/>
      <c r="E416" s="197"/>
      <c r="F416" s="237"/>
      <c r="G416" s="237"/>
      <c r="H416" s="238"/>
      <c r="I416" s="238"/>
      <c r="J416" s="238"/>
      <c r="K416" s="238"/>
      <c r="L416" s="238"/>
      <c r="M416" s="238"/>
      <c r="N416" s="238"/>
      <c r="O416" s="238"/>
      <c r="P416" s="237"/>
      <c r="Q416" s="238"/>
      <c r="R416" s="237"/>
      <c r="S416" s="237"/>
      <c r="T416" s="238"/>
      <c r="U416" s="238"/>
      <c r="V416" s="238"/>
      <c r="W416" s="237"/>
      <c r="X416" s="237"/>
      <c r="Y416" s="237">
        <v>41883200</v>
      </c>
    </row>
    <row r="417" spans="1:25" ht="24" customHeight="1" x14ac:dyDescent="0.25">
      <c r="A417" s="163"/>
      <c r="B417" s="236" t="s">
        <v>42</v>
      </c>
      <c r="C417" s="190"/>
      <c r="D417" s="197"/>
      <c r="E417" s="197"/>
      <c r="F417" s="237"/>
      <c r="G417" s="237"/>
      <c r="H417" s="238"/>
      <c r="I417" s="238"/>
      <c r="J417" s="238"/>
      <c r="K417" s="238"/>
      <c r="L417" s="238"/>
      <c r="M417" s="238"/>
      <c r="N417" s="238"/>
      <c r="O417" s="238"/>
      <c r="P417" s="237"/>
      <c r="Q417" s="238"/>
      <c r="R417" s="237"/>
      <c r="S417" s="237"/>
      <c r="T417" s="238"/>
      <c r="U417" s="238"/>
      <c r="V417" s="238"/>
      <c r="W417" s="237"/>
      <c r="X417" s="237"/>
      <c r="Y417" s="237">
        <v>489560</v>
      </c>
    </row>
    <row r="418" spans="1:25" ht="25.2" customHeight="1" x14ac:dyDescent="0.25">
      <c r="A418" s="163"/>
      <c r="B418" s="239" t="s">
        <v>43</v>
      </c>
      <c r="C418" s="190"/>
      <c r="D418" s="197"/>
      <c r="E418" s="197"/>
      <c r="F418" s="237"/>
      <c r="G418" s="237"/>
      <c r="H418" s="238"/>
      <c r="I418" s="238"/>
      <c r="J418" s="238"/>
      <c r="K418" s="238"/>
      <c r="L418" s="238"/>
      <c r="M418" s="238"/>
      <c r="N418" s="238"/>
      <c r="O418" s="238"/>
      <c r="P418" s="237"/>
      <c r="Q418" s="238"/>
      <c r="R418" s="237"/>
      <c r="S418" s="237"/>
      <c r="T418" s="238"/>
      <c r="U418" s="238"/>
      <c r="V418" s="238"/>
      <c r="W418" s="237"/>
      <c r="X418" s="237"/>
      <c r="Y418" s="237">
        <v>4954010</v>
      </c>
    </row>
    <row r="419" spans="1:25" ht="24" customHeight="1" x14ac:dyDescent="0.25">
      <c r="A419" s="163"/>
      <c r="B419" s="240" t="s">
        <v>44</v>
      </c>
      <c r="C419" s="190"/>
      <c r="D419" s="197"/>
      <c r="E419" s="197"/>
      <c r="F419" s="190"/>
      <c r="G419" s="190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0"/>
      <c r="Y419" s="237">
        <v>936700</v>
      </c>
    </row>
    <row r="420" spans="1:25" s="242" customFormat="1" ht="38.4" customHeight="1" x14ac:dyDescent="0.2">
      <c r="A420" s="40"/>
      <c r="B420" s="241" t="s">
        <v>287</v>
      </c>
      <c r="C420" s="51">
        <f>SUM(C415:C419)</f>
        <v>3078.1</v>
      </c>
      <c r="D420" s="51"/>
      <c r="E420" s="51"/>
      <c r="F420" s="51">
        <f t="shared" ref="F420:Y420" si="117">SUM(F415:F419)</f>
        <v>8039414</v>
      </c>
      <c r="G420" s="52">
        <f t="shared" si="117"/>
        <v>2584</v>
      </c>
      <c r="H420" s="52">
        <f t="shared" si="117"/>
        <v>66908</v>
      </c>
      <c r="I420" s="52">
        <f t="shared" si="117"/>
        <v>97923</v>
      </c>
      <c r="J420" s="52">
        <f t="shared" si="117"/>
        <v>0</v>
      </c>
      <c r="K420" s="52">
        <f t="shared" si="117"/>
        <v>23721</v>
      </c>
      <c r="L420" s="52">
        <f t="shared" si="117"/>
        <v>22589</v>
      </c>
      <c r="M420" s="52">
        <f t="shared" si="117"/>
        <v>0</v>
      </c>
      <c r="N420" s="52">
        <f t="shared" si="117"/>
        <v>1419250</v>
      </c>
      <c r="O420" s="52">
        <f t="shared" si="117"/>
        <v>43566</v>
      </c>
      <c r="P420" s="52">
        <f t="shared" si="117"/>
        <v>270533</v>
      </c>
      <c r="Q420" s="52">
        <f t="shared" si="117"/>
        <v>532173</v>
      </c>
      <c r="R420" s="52">
        <f t="shared" si="117"/>
        <v>168633</v>
      </c>
      <c r="S420" s="52">
        <f t="shared" si="117"/>
        <v>384947</v>
      </c>
      <c r="T420" s="52">
        <f t="shared" si="117"/>
        <v>18178</v>
      </c>
      <c r="U420" s="52">
        <f t="shared" si="117"/>
        <v>9728</v>
      </c>
      <c r="V420" s="52">
        <f t="shared" si="117"/>
        <v>51253</v>
      </c>
      <c r="W420" s="52">
        <f t="shared" si="117"/>
        <v>3111986</v>
      </c>
      <c r="X420" s="51">
        <f t="shared" si="117"/>
        <v>11151400</v>
      </c>
      <c r="Y420" s="51">
        <f t="shared" si="117"/>
        <v>137474670</v>
      </c>
    </row>
    <row r="422" spans="1:25" ht="28.5" customHeight="1" x14ac:dyDescent="0.25">
      <c r="A422" s="243" t="s">
        <v>288</v>
      </c>
      <c r="B422" s="244"/>
      <c r="C422" s="244"/>
      <c r="D422" s="244"/>
      <c r="E422" s="244"/>
      <c r="F422" s="244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5"/>
    </row>
    <row r="423" spans="1:25" ht="28.5" customHeight="1" x14ac:dyDescent="0.25">
      <c r="A423" s="174" t="s">
        <v>83</v>
      </c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6"/>
    </row>
    <row r="424" spans="1:25" ht="20.100000000000001" customHeight="1" x14ac:dyDescent="0.25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</row>
    <row r="425" spans="1:25" ht="27.75" customHeight="1" x14ac:dyDescent="0.25">
      <c r="A425" s="163">
        <v>1</v>
      </c>
      <c r="B425" s="164" t="s">
        <v>84</v>
      </c>
      <c r="C425" s="246"/>
      <c r="D425" s="246"/>
      <c r="E425" s="246">
        <v>5167</v>
      </c>
      <c r="F425" s="186"/>
      <c r="G425" s="166">
        <f>ROUNDUP(E425*100%,0)</f>
        <v>5167</v>
      </c>
      <c r="H425" s="163"/>
      <c r="I425" s="163"/>
      <c r="J425" s="163">
        <f>ROUNDUP(E425*15%,0)</f>
        <v>776</v>
      </c>
      <c r="K425" s="163"/>
      <c r="L425" s="163"/>
      <c r="M425" s="163"/>
      <c r="N425" s="163"/>
      <c r="O425" s="163"/>
      <c r="P425" s="163"/>
      <c r="Q425" s="163"/>
      <c r="R425" s="163"/>
      <c r="S425" s="246"/>
      <c r="T425" s="246"/>
      <c r="U425" s="246"/>
      <c r="V425" s="246"/>
      <c r="W425" s="186">
        <f>SUM(G425:V425)</f>
        <v>5943</v>
      </c>
      <c r="X425" s="186">
        <f>F425+W425</f>
        <v>5943</v>
      </c>
      <c r="Y425" s="186">
        <f>X425*8</f>
        <v>47544</v>
      </c>
    </row>
    <row r="426" spans="1:25" ht="27.75" customHeight="1" x14ac:dyDescent="0.25">
      <c r="A426" s="163">
        <v>2</v>
      </c>
      <c r="B426" s="164" t="s">
        <v>85</v>
      </c>
      <c r="C426" s="246">
        <v>2</v>
      </c>
      <c r="D426" s="246"/>
      <c r="E426" s="246">
        <v>4909</v>
      </c>
      <c r="F426" s="186">
        <f>E426*C426</f>
        <v>9818</v>
      </c>
      <c r="G426" s="186"/>
      <c r="H426" s="163"/>
      <c r="I426" s="163"/>
      <c r="J426" s="163">
        <f>ROUNDUP(E426*15%,0)</f>
        <v>737</v>
      </c>
      <c r="K426" s="163"/>
      <c r="L426" s="163"/>
      <c r="M426" s="163"/>
      <c r="N426" s="163">
        <f>ROUNDUP(F426*30%,0)</f>
        <v>2946</v>
      </c>
      <c r="O426" s="163"/>
      <c r="P426" s="163">
        <f>ROUNDUP(E426*33%,0)</f>
        <v>1620</v>
      </c>
      <c r="Q426" s="163">
        <f>ROUNDUP(E426*25%,0)</f>
        <v>1228</v>
      </c>
      <c r="R426" s="163">
        <f>ROUNDUP(E426*20%,0)</f>
        <v>982</v>
      </c>
      <c r="S426" s="163">
        <f>ROUNDUP(E426*15%,0)</f>
        <v>737</v>
      </c>
      <c r="T426" s="246"/>
      <c r="U426" s="246"/>
      <c r="V426" s="246"/>
      <c r="W426" s="186">
        <f>SUM(G426:V426)</f>
        <v>8250</v>
      </c>
      <c r="X426" s="186">
        <f>F426+W426</f>
        <v>18068</v>
      </c>
      <c r="Y426" s="186">
        <f>X426*8</f>
        <v>144544</v>
      </c>
    </row>
    <row r="427" spans="1:25" ht="27.75" customHeight="1" x14ac:dyDescent="0.25">
      <c r="A427" s="163">
        <v>3</v>
      </c>
      <c r="B427" s="164" t="s">
        <v>86</v>
      </c>
      <c r="C427" s="246">
        <v>4</v>
      </c>
      <c r="D427" s="246">
        <v>22</v>
      </c>
      <c r="E427" s="246">
        <v>4811</v>
      </c>
      <c r="F427" s="186">
        <f>C427*E427</f>
        <v>19244</v>
      </c>
      <c r="G427" s="186"/>
      <c r="H427" s="186"/>
      <c r="I427" s="247"/>
      <c r="J427" s="247"/>
      <c r="K427" s="163"/>
      <c r="L427" s="246"/>
      <c r="M427" s="246"/>
      <c r="N427" s="163">
        <f>4330+963</f>
        <v>5293</v>
      </c>
      <c r="O427" s="246"/>
      <c r="P427" s="163">
        <f>ROUNDUP(E427*33%,0)</f>
        <v>1588</v>
      </c>
      <c r="Q427" s="163">
        <f>ROUNDUP(E427*2*25%,0)+1203</f>
        <v>3609</v>
      </c>
      <c r="R427" s="163">
        <f>ROUNDUP(E427*20%,0)</f>
        <v>963</v>
      </c>
      <c r="S427" s="163">
        <f>ROUNDUP(E427*2*15%,0)+722</f>
        <v>2166</v>
      </c>
      <c r="T427" s="246"/>
      <c r="U427" s="246"/>
      <c r="V427" s="246"/>
      <c r="W427" s="186">
        <f>SUM(G427:V427)</f>
        <v>13619</v>
      </c>
      <c r="X427" s="186">
        <f>F427+W427</f>
        <v>32863</v>
      </c>
      <c r="Y427" s="186">
        <f>X427*8</f>
        <v>262904</v>
      </c>
    </row>
    <row r="428" spans="1:25" ht="36" customHeight="1" x14ac:dyDescent="0.25">
      <c r="A428" s="163"/>
      <c r="B428" s="164" t="s">
        <v>289</v>
      </c>
      <c r="C428" s="147">
        <f>SUM(C425:C427)</f>
        <v>6</v>
      </c>
      <c r="D428" s="147"/>
      <c r="E428" s="246"/>
      <c r="F428" s="190">
        <f t="shared" ref="F428:Y428" si="118">SUM(F425:F427)</f>
        <v>29062</v>
      </c>
      <c r="G428" s="198">
        <f t="shared" si="118"/>
        <v>5167</v>
      </c>
      <c r="H428" s="198">
        <f t="shared" si="118"/>
        <v>0</v>
      </c>
      <c r="I428" s="198">
        <f t="shared" si="118"/>
        <v>0</v>
      </c>
      <c r="J428" s="198">
        <f t="shared" si="118"/>
        <v>1513</v>
      </c>
      <c r="K428" s="198">
        <f t="shared" si="118"/>
        <v>0</v>
      </c>
      <c r="L428" s="198">
        <f t="shared" si="118"/>
        <v>0</v>
      </c>
      <c r="M428" s="198">
        <f t="shared" si="118"/>
        <v>0</v>
      </c>
      <c r="N428" s="198">
        <f t="shared" si="118"/>
        <v>8239</v>
      </c>
      <c r="O428" s="198">
        <f t="shared" si="118"/>
        <v>0</v>
      </c>
      <c r="P428" s="198">
        <f t="shared" si="118"/>
        <v>3208</v>
      </c>
      <c r="Q428" s="198">
        <f t="shared" si="118"/>
        <v>4837</v>
      </c>
      <c r="R428" s="198">
        <f t="shared" si="118"/>
        <v>1945</v>
      </c>
      <c r="S428" s="198">
        <f t="shared" si="118"/>
        <v>2903</v>
      </c>
      <c r="T428" s="198">
        <f t="shared" si="118"/>
        <v>0</v>
      </c>
      <c r="U428" s="198">
        <f t="shared" si="118"/>
        <v>0</v>
      </c>
      <c r="V428" s="198">
        <f t="shared" si="118"/>
        <v>0</v>
      </c>
      <c r="W428" s="190">
        <f t="shared" si="118"/>
        <v>27812</v>
      </c>
      <c r="X428" s="190">
        <f t="shared" si="118"/>
        <v>56874</v>
      </c>
      <c r="Y428" s="190">
        <f t="shared" si="118"/>
        <v>454992</v>
      </c>
    </row>
    <row r="429" spans="1:25" ht="20.100000000000001" customHeight="1" x14ac:dyDescent="0.25">
      <c r="A429" s="163"/>
      <c r="B429" s="164"/>
      <c r="C429" s="246"/>
      <c r="D429" s="246"/>
      <c r="E429" s="246"/>
      <c r="F429" s="246"/>
      <c r="G429" s="246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186"/>
      <c r="Y429" s="186"/>
    </row>
    <row r="430" spans="1:25" ht="33" customHeight="1" x14ac:dyDescent="0.25">
      <c r="A430" s="174" t="s">
        <v>88</v>
      </c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6"/>
    </row>
    <row r="431" spans="1:25" ht="33" customHeight="1" x14ac:dyDescent="0.25">
      <c r="A431" s="225">
        <v>1</v>
      </c>
      <c r="B431" s="151" t="s">
        <v>89</v>
      </c>
      <c r="C431" s="246">
        <v>0.25</v>
      </c>
      <c r="D431" s="246">
        <v>21</v>
      </c>
      <c r="E431" s="248">
        <v>4562</v>
      </c>
      <c r="F431" s="186">
        <f t="shared" ref="F431:F438" si="119">C431*E431</f>
        <v>1140.5</v>
      </c>
      <c r="G431" s="183"/>
      <c r="H431" s="134"/>
      <c r="I431" s="134"/>
      <c r="J431" s="134"/>
      <c r="K431" s="134"/>
      <c r="L431" s="134"/>
      <c r="M431" s="134"/>
      <c r="N431" s="134"/>
      <c r="O431" s="134"/>
      <c r="P431" s="134">
        <v>377</v>
      </c>
      <c r="Q431" s="134"/>
      <c r="R431" s="134">
        <v>229</v>
      </c>
      <c r="S431" s="134"/>
      <c r="T431" s="134"/>
      <c r="U431" s="134"/>
      <c r="V431" s="134"/>
      <c r="W431" s="249">
        <f>SUM(H431:V431)</f>
        <v>606</v>
      </c>
      <c r="X431" s="186">
        <f>F431+W431</f>
        <v>1746.5</v>
      </c>
      <c r="Y431" s="250">
        <f>X431*8</f>
        <v>13972</v>
      </c>
    </row>
    <row r="432" spans="1:25" ht="24.75" customHeight="1" x14ac:dyDescent="0.25">
      <c r="A432" s="134">
        <v>2</v>
      </c>
      <c r="B432" s="194" t="s">
        <v>90</v>
      </c>
      <c r="C432" s="246">
        <f>25.25+0.75</f>
        <v>26</v>
      </c>
      <c r="D432" s="246">
        <v>20</v>
      </c>
      <c r="E432" s="249">
        <v>4313</v>
      </c>
      <c r="F432" s="186">
        <f t="shared" si="119"/>
        <v>112138</v>
      </c>
      <c r="G432" s="186"/>
      <c r="H432" s="186"/>
      <c r="I432" s="251"/>
      <c r="J432" s="163"/>
      <c r="K432" s="163">
        <f>ROUNDUP(E432*0.5*20%,0)</f>
        <v>432</v>
      </c>
      <c r="L432" s="163"/>
      <c r="M432" s="163">
        <f>ROUNDUP(E432*20*10%,0)</f>
        <v>8626</v>
      </c>
      <c r="N432" s="163">
        <f>32671</f>
        <v>32671</v>
      </c>
      <c r="O432" s="163">
        <f>ROUNDUP(E432*3*30%,0)</f>
        <v>3882</v>
      </c>
      <c r="P432" s="163">
        <f>ROUNDUP(E432*20.5*33%,0)+1068</f>
        <v>30246</v>
      </c>
      <c r="Q432" s="163">
        <f>ROUNDUP(E432*4.75*25%,0)</f>
        <v>5122</v>
      </c>
      <c r="R432" s="163">
        <f>ROUNDUP(E432*20.5*20%,0)+647</f>
        <v>18331</v>
      </c>
      <c r="S432" s="163">
        <f>ROUNDUP(E432*4.75*15%,0)</f>
        <v>3074</v>
      </c>
      <c r="T432" s="251"/>
      <c r="U432" s="251"/>
      <c r="V432" s="246"/>
      <c r="W432" s="249">
        <f>SUM(H432:V432)</f>
        <v>102384</v>
      </c>
      <c r="X432" s="186">
        <f>F432+W432</f>
        <v>214522</v>
      </c>
      <c r="Y432" s="250">
        <f t="shared" ref="Y432:Y440" si="120">X432*8</f>
        <v>1716176</v>
      </c>
    </row>
    <row r="433" spans="1:29" ht="25.5" customHeight="1" x14ac:dyDescent="0.25">
      <c r="A433" s="134">
        <v>3</v>
      </c>
      <c r="B433" s="194" t="s">
        <v>90</v>
      </c>
      <c r="C433" s="246">
        <f>22-0.5</f>
        <v>21.5</v>
      </c>
      <c r="D433" s="246">
        <v>19</v>
      </c>
      <c r="E433" s="246">
        <v>4053</v>
      </c>
      <c r="F433" s="186">
        <f t="shared" si="119"/>
        <v>87139.5</v>
      </c>
      <c r="G433" s="186"/>
      <c r="H433" s="186"/>
      <c r="I433" s="251"/>
      <c r="J433" s="163"/>
      <c r="K433" s="163"/>
      <c r="L433" s="163"/>
      <c r="M433" s="163"/>
      <c r="N433" s="163">
        <f>ROUNDUP(F433*29%,0)</f>
        <v>25271</v>
      </c>
      <c r="O433" s="163"/>
      <c r="P433" s="163"/>
      <c r="Q433" s="163">
        <f>ROUNDUP(E433*21*25%,0)</f>
        <v>21279</v>
      </c>
      <c r="R433" s="163"/>
      <c r="S433" s="163">
        <f>ROUNDUP(E433*21*15%,0)</f>
        <v>12767</v>
      </c>
      <c r="T433" s="251"/>
      <c r="U433" s="251"/>
      <c r="V433" s="246"/>
      <c r="W433" s="249">
        <f t="shared" ref="W433:W440" si="121">SUM(H433:V433)</f>
        <v>59317</v>
      </c>
      <c r="X433" s="186">
        <f t="shared" ref="X433:X440" si="122">F433+W433</f>
        <v>146456.5</v>
      </c>
      <c r="Y433" s="250">
        <f t="shared" si="120"/>
        <v>1171652</v>
      </c>
    </row>
    <row r="434" spans="1:29" ht="27" customHeight="1" x14ac:dyDescent="0.25">
      <c r="A434" s="134">
        <v>4</v>
      </c>
      <c r="B434" s="194" t="s">
        <v>90</v>
      </c>
      <c r="C434" s="246">
        <v>0.5</v>
      </c>
      <c r="D434" s="246">
        <v>16</v>
      </c>
      <c r="E434" s="246">
        <v>3306</v>
      </c>
      <c r="F434" s="186">
        <f>C434*E434</f>
        <v>1653</v>
      </c>
      <c r="G434" s="186"/>
      <c r="H434" s="186"/>
      <c r="I434" s="251"/>
      <c r="J434" s="163"/>
      <c r="K434" s="163"/>
      <c r="L434" s="163"/>
      <c r="M434" s="163"/>
      <c r="N434" s="163">
        <f>ROUNDUP(F434*29%,0)</f>
        <v>480</v>
      </c>
      <c r="O434" s="163"/>
      <c r="P434" s="163"/>
      <c r="Q434" s="163">
        <f>ROUNDUP(E434*0.5*25%,0)</f>
        <v>414</v>
      </c>
      <c r="R434" s="163">
        <f>ROUNDUP(E434*0.5*20%,0)</f>
        <v>331</v>
      </c>
      <c r="S434" s="163"/>
      <c r="T434" s="251"/>
      <c r="U434" s="251"/>
      <c r="V434" s="246"/>
      <c r="W434" s="249">
        <f>SUM(H434:V434)</f>
        <v>1225</v>
      </c>
      <c r="X434" s="186">
        <f>F434+W434</f>
        <v>2878</v>
      </c>
      <c r="Y434" s="250">
        <f t="shared" si="120"/>
        <v>23024</v>
      </c>
    </row>
    <row r="435" spans="1:29" ht="26.25" customHeight="1" x14ac:dyDescent="0.25">
      <c r="A435" s="134">
        <v>5</v>
      </c>
      <c r="B435" s="207" t="s">
        <v>290</v>
      </c>
      <c r="C435" s="246">
        <f>103.25+0.75+2.5+1.25+1.25</f>
        <v>109</v>
      </c>
      <c r="D435" s="246">
        <v>19</v>
      </c>
      <c r="E435" s="246">
        <v>4053</v>
      </c>
      <c r="F435" s="186">
        <f t="shared" si="119"/>
        <v>441777</v>
      </c>
      <c r="G435" s="186"/>
      <c r="H435" s="186"/>
      <c r="I435" s="252"/>
      <c r="J435" s="163">
        <f>ROUNDUP(E435*1*30%,0)</f>
        <v>1216</v>
      </c>
      <c r="K435" s="251"/>
      <c r="L435" s="163"/>
      <c r="M435" s="163">
        <f>ROUNDUP(E435*20*10%,0)</f>
        <v>8106</v>
      </c>
      <c r="N435" s="163">
        <f>112988+608+1014+1419+609</f>
        <v>116638</v>
      </c>
      <c r="O435" s="163">
        <f>ROUNDUP(E435*19*30%,0)</f>
        <v>23103</v>
      </c>
      <c r="P435" s="252"/>
      <c r="Q435" s="163">
        <f>ROUNDUP(E435*79.25*25%,0)+760+2534+254+254</f>
        <v>84103</v>
      </c>
      <c r="R435" s="252"/>
      <c r="S435" s="163">
        <f>ROUNDUP(E435*103.25*15%,0)+456+1520+760+760</f>
        <v>66267</v>
      </c>
      <c r="T435" s="163"/>
      <c r="U435" s="253">
        <f>ROUNDUP(E435*3*12%,0)+365+609</f>
        <v>2434</v>
      </c>
      <c r="V435" s="246"/>
      <c r="W435" s="249">
        <f t="shared" si="121"/>
        <v>301867</v>
      </c>
      <c r="X435" s="186">
        <f t="shared" si="122"/>
        <v>743644</v>
      </c>
      <c r="Y435" s="250">
        <f t="shared" si="120"/>
        <v>5949152</v>
      </c>
    </row>
    <row r="436" spans="1:29" ht="26.25" customHeight="1" x14ac:dyDescent="0.25">
      <c r="A436" s="134">
        <v>6</v>
      </c>
      <c r="B436" s="207" t="s">
        <v>290</v>
      </c>
      <c r="C436" s="246">
        <v>36.75</v>
      </c>
      <c r="D436" s="246">
        <v>17</v>
      </c>
      <c r="E436" s="246">
        <v>3555</v>
      </c>
      <c r="F436" s="186">
        <f t="shared" si="119"/>
        <v>130646.25</v>
      </c>
      <c r="G436" s="186"/>
      <c r="H436" s="186"/>
      <c r="I436" s="252"/>
      <c r="J436" s="163"/>
      <c r="K436" s="251"/>
      <c r="L436" s="163"/>
      <c r="M436" s="163"/>
      <c r="N436" s="163">
        <f>ROUNDUP(F436*27%,0)</f>
        <v>35275</v>
      </c>
      <c r="O436" s="163"/>
      <c r="P436" s="252"/>
      <c r="Q436" s="163"/>
      <c r="R436" s="252"/>
      <c r="S436" s="163">
        <f>ROUNDUP(E436*23.25*15%,0)</f>
        <v>12399</v>
      </c>
      <c r="T436" s="163"/>
      <c r="U436" s="163"/>
      <c r="V436" s="246"/>
      <c r="W436" s="249">
        <f t="shared" si="121"/>
        <v>47674</v>
      </c>
      <c r="X436" s="186">
        <f t="shared" si="122"/>
        <v>178320.25</v>
      </c>
      <c r="Y436" s="250">
        <f t="shared" si="120"/>
        <v>1426562</v>
      </c>
    </row>
    <row r="437" spans="1:29" ht="26.25" customHeight="1" x14ac:dyDescent="0.25">
      <c r="A437" s="134">
        <v>7</v>
      </c>
      <c r="B437" s="207" t="s">
        <v>290</v>
      </c>
      <c r="C437" s="246">
        <v>4.5</v>
      </c>
      <c r="D437" s="246">
        <v>16</v>
      </c>
      <c r="E437" s="246">
        <v>3306</v>
      </c>
      <c r="F437" s="186">
        <f t="shared" si="119"/>
        <v>14877</v>
      </c>
      <c r="G437" s="186"/>
      <c r="H437" s="186"/>
      <c r="I437" s="252"/>
      <c r="J437" s="163"/>
      <c r="K437" s="251"/>
      <c r="L437" s="163"/>
      <c r="M437" s="163">
        <f>ROUNDUP(E437*20*10%,0)</f>
        <v>6612</v>
      </c>
      <c r="N437" s="163">
        <f>ROUNDUP(F437*20%,0)</f>
        <v>2976</v>
      </c>
      <c r="O437" s="163"/>
      <c r="P437" s="252"/>
      <c r="Q437" s="163"/>
      <c r="R437" s="252"/>
      <c r="S437" s="163">
        <f>ROUNDUP(E437*4.5*15%,0)</f>
        <v>2232</v>
      </c>
      <c r="T437" s="163"/>
      <c r="U437" s="163"/>
      <c r="V437" s="246"/>
      <c r="W437" s="249">
        <f t="shared" si="121"/>
        <v>11820</v>
      </c>
      <c r="X437" s="186">
        <f t="shared" si="122"/>
        <v>26697</v>
      </c>
      <c r="Y437" s="250">
        <f t="shared" si="120"/>
        <v>213576</v>
      </c>
    </row>
    <row r="438" spans="1:29" ht="27" customHeight="1" x14ac:dyDescent="0.25">
      <c r="A438" s="134">
        <v>8</v>
      </c>
      <c r="B438" s="164" t="s">
        <v>291</v>
      </c>
      <c r="C438" s="246">
        <f>151.5+1+0.75+7+5</f>
        <v>165.25</v>
      </c>
      <c r="D438" s="246">
        <v>17</v>
      </c>
      <c r="E438" s="246">
        <v>3555</v>
      </c>
      <c r="F438" s="186">
        <f t="shared" si="119"/>
        <v>587463.75</v>
      </c>
      <c r="G438" s="186"/>
      <c r="H438" s="186"/>
      <c r="I438" s="251"/>
      <c r="J438" s="163"/>
      <c r="K438" s="251"/>
      <c r="L438" s="163"/>
      <c r="M438" s="163">
        <f>ROUNDUP(E438*20*10%,0)</f>
        <v>7110</v>
      </c>
      <c r="N438" s="163">
        <f>130113+267+1422+3556</f>
        <v>135358</v>
      </c>
      <c r="O438" s="163">
        <f>ROUNDUP(E438*3*30%,0)</f>
        <v>3200</v>
      </c>
      <c r="P438" s="251"/>
      <c r="Q438" s="251"/>
      <c r="R438" s="251"/>
      <c r="S438" s="163">
        <f>ROUNDUP(E438*1.25*15%,0)+400</f>
        <v>1067</v>
      </c>
      <c r="T438" s="251"/>
      <c r="U438" s="251"/>
      <c r="V438" s="246"/>
      <c r="W438" s="249">
        <f t="shared" si="121"/>
        <v>146735</v>
      </c>
      <c r="X438" s="186">
        <f t="shared" si="122"/>
        <v>734198.75</v>
      </c>
      <c r="Y438" s="250">
        <f t="shared" si="120"/>
        <v>5873590</v>
      </c>
    </row>
    <row r="439" spans="1:29" ht="36" customHeight="1" x14ac:dyDescent="0.25">
      <c r="A439" s="134">
        <v>9</v>
      </c>
      <c r="B439" s="164" t="s">
        <v>292</v>
      </c>
      <c r="C439" s="246">
        <f>127.05-1+4</f>
        <v>130.05000000000001</v>
      </c>
      <c r="D439" s="246">
        <v>16</v>
      </c>
      <c r="E439" s="246">
        <v>3306</v>
      </c>
      <c r="F439" s="186">
        <f>C439*E439-0.05</f>
        <v>429945.25000000006</v>
      </c>
      <c r="G439" s="186"/>
      <c r="H439" s="186"/>
      <c r="I439" s="251"/>
      <c r="J439" s="163"/>
      <c r="K439" s="251"/>
      <c r="L439" s="163">
        <f>ROUNDUP(E439*5*10%,0)</f>
        <v>1653</v>
      </c>
      <c r="M439" s="163">
        <f>ROUNDUP(E439*20*10%,0)</f>
        <v>6612</v>
      </c>
      <c r="N439" s="163">
        <v>53341</v>
      </c>
      <c r="O439" s="251"/>
      <c r="P439" s="251"/>
      <c r="Q439" s="251"/>
      <c r="R439" s="251"/>
      <c r="S439" s="163"/>
      <c r="T439" s="251"/>
      <c r="U439" s="251"/>
      <c r="V439" s="246"/>
      <c r="W439" s="249">
        <f t="shared" si="121"/>
        <v>61606</v>
      </c>
      <c r="X439" s="186">
        <f t="shared" si="122"/>
        <v>491551.25000000006</v>
      </c>
      <c r="Y439" s="250">
        <f t="shared" si="120"/>
        <v>3932410.0000000005</v>
      </c>
    </row>
    <row r="440" spans="1:29" ht="30" customHeight="1" x14ac:dyDescent="0.25">
      <c r="A440" s="134">
        <v>10</v>
      </c>
      <c r="B440" s="194" t="s">
        <v>293</v>
      </c>
      <c r="C440" s="246">
        <v>81</v>
      </c>
      <c r="D440" s="246">
        <v>15</v>
      </c>
      <c r="E440" s="246">
        <v>3057</v>
      </c>
      <c r="F440" s="186">
        <f>C440*E440</f>
        <v>247617</v>
      </c>
      <c r="G440" s="186"/>
      <c r="H440" s="186"/>
      <c r="I440" s="254"/>
      <c r="J440" s="251"/>
      <c r="K440" s="251"/>
      <c r="L440" s="251"/>
      <c r="M440" s="251"/>
      <c r="N440" s="254"/>
      <c r="O440" s="254"/>
      <c r="P440" s="254"/>
      <c r="Q440" s="254"/>
      <c r="R440" s="251"/>
      <c r="S440" s="251"/>
      <c r="T440" s="251"/>
      <c r="U440" s="246"/>
      <c r="V440" s="246"/>
      <c r="W440" s="249">
        <f t="shared" si="121"/>
        <v>0</v>
      </c>
      <c r="X440" s="186">
        <f t="shared" si="122"/>
        <v>247617</v>
      </c>
      <c r="Y440" s="250">
        <f t="shared" si="120"/>
        <v>1980936</v>
      </c>
    </row>
    <row r="441" spans="1:29" ht="39.75" customHeight="1" x14ac:dyDescent="0.25">
      <c r="A441" s="134"/>
      <c r="B441" s="194" t="s">
        <v>294</v>
      </c>
      <c r="C441" s="190">
        <f>SUM(C431:C440)</f>
        <v>574.79999999999995</v>
      </c>
      <c r="D441" s="190"/>
      <c r="E441" s="190"/>
      <c r="F441" s="190">
        <f t="shared" ref="F441:AC441" si="123">SUM(F431:F440)</f>
        <v>2054397.25</v>
      </c>
      <c r="G441" s="198">
        <f t="shared" si="123"/>
        <v>0</v>
      </c>
      <c r="H441" s="198">
        <f t="shared" si="123"/>
        <v>0</v>
      </c>
      <c r="I441" s="198">
        <f t="shared" si="123"/>
        <v>0</v>
      </c>
      <c r="J441" s="198">
        <f t="shared" si="123"/>
        <v>1216</v>
      </c>
      <c r="K441" s="198">
        <f t="shared" si="123"/>
        <v>432</v>
      </c>
      <c r="L441" s="198">
        <f t="shared" si="123"/>
        <v>1653</v>
      </c>
      <c r="M441" s="198">
        <f t="shared" si="123"/>
        <v>37066</v>
      </c>
      <c r="N441" s="198">
        <f t="shared" si="123"/>
        <v>402010</v>
      </c>
      <c r="O441" s="198">
        <f t="shared" si="123"/>
        <v>30185</v>
      </c>
      <c r="P441" s="198">
        <f t="shared" si="123"/>
        <v>30623</v>
      </c>
      <c r="Q441" s="198">
        <f t="shared" si="123"/>
        <v>110918</v>
      </c>
      <c r="R441" s="198">
        <f t="shared" si="123"/>
        <v>18891</v>
      </c>
      <c r="S441" s="198">
        <f t="shared" si="123"/>
        <v>97806</v>
      </c>
      <c r="T441" s="198">
        <f t="shared" si="123"/>
        <v>0</v>
      </c>
      <c r="U441" s="238">
        <f t="shared" si="123"/>
        <v>2434</v>
      </c>
      <c r="V441" s="198">
        <f t="shared" si="123"/>
        <v>0</v>
      </c>
      <c r="W441" s="198">
        <f t="shared" si="123"/>
        <v>733234</v>
      </c>
      <c r="X441" s="190">
        <f t="shared" si="123"/>
        <v>2787631.25</v>
      </c>
      <c r="Y441" s="190">
        <f t="shared" si="123"/>
        <v>22301050</v>
      </c>
      <c r="Z441" s="190">
        <f t="shared" si="123"/>
        <v>0</v>
      </c>
      <c r="AA441" s="190">
        <f t="shared" si="123"/>
        <v>0</v>
      </c>
      <c r="AB441" s="190">
        <f t="shared" si="123"/>
        <v>0</v>
      </c>
      <c r="AC441" s="190">
        <f t="shared" si="123"/>
        <v>0</v>
      </c>
    </row>
    <row r="442" spans="1:29" ht="33" customHeight="1" x14ac:dyDescent="0.25">
      <c r="A442" s="134"/>
      <c r="B442" s="202" t="s">
        <v>47</v>
      </c>
      <c r="C442" s="246"/>
      <c r="D442" s="246"/>
      <c r="E442" s="246"/>
      <c r="F442" s="246"/>
      <c r="G442" s="246"/>
      <c r="H442" s="246"/>
      <c r="I442" s="246"/>
      <c r="J442" s="255"/>
      <c r="K442" s="255"/>
      <c r="L442" s="246"/>
      <c r="M442" s="186"/>
      <c r="N442" s="246"/>
      <c r="O442" s="186"/>
      <c r="P442" s="186"/>
      <c r="Q442" s="186"/>
      <c r="R442" s="186"/>
      <c r="S442" s="246"/>
      <c r="T442" s="186"/>
      <c r="U442" s="246"/>
      <c r="V442" s="246"/>
      <c r="W442" s="246"/>
      <c r="X442" s="171">
        <f>313419+1940+28296.25+1</f>
        <v>343656.25</v>
      </c>
      <c r="Y442" s="171">
        <f>X442*8</f>
        <v>2749250</v>
      </c>
    </row>
    <row r="443" spans="1:29" ht="21.75" customHeight="1" x14ac:dyDescent="0.25">
      <c r="A443" s="180" t="s">
        <v>295</v>
      </c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</row>
    <row r="444" spans="1:29" s="261" customFormat="1" ht="33.75" customHeight="1" x14ac:dyDescent="0.25">
      <c r="A444" s="256">
        <v>1</v>
      </c>
      <c r="B444" s="257" t="s">
        <v>229</v>
      </c>
      <c r="C444" s="137">
        <v>1</v>
      </c>
      <c r="D444" s="258">
        <v>21</v>
      </c>
      <c r="E444" s="258">
        <v>4562</v>
      </c>
      <c r="F444" s="259">
        <f>C444*E444</f>
        <v>4562</v>
      </c>
      <c r="G444" s="259"/>
      <c r="H444" s="260"/>
      <c r="I444" s="260"/>
      <c r="J444" s="260"/>
      <c r="K444" s="260"/>
      <c r="L444" s="260"/>
      <c r="M444" s="260"/>
      <c r="N444" s="260">
        <f>ROUNDUP(F444*30%,0)</f>
        <v>1369</v>
      </c>
      <c r="O444" s="260"/>
      <c r="P444" s="260"/>
      <c r="Q444" s="260">
        <f>ROUNDUP(F444*25%,0)</f>
        <v>1141</v>
      </c>
      <c r="R444" s="260"/>
      <c r="S444" s="260">
        <f>ROUNDUP(F444*15%,0)</f>
        <v>685</v>
      </c>
      <c r="T444" s="260"/>
      <c r="U444" s="260"/>
      <c r="V444" s="260"/>
      <c r="W444" s="260">
        <f>SUM(H444:V444)</f>
        <v>3195</v>
      </c>
      <c r="X444" s="259">
        <f>F444+W444</f>
        <v>7757</v>
      </c>
      <c r="Y444" s="259">
        <f>X444*8</f>
        <v>62056</v>
      </c>
    </row>
    <row r="445" spans="1:29" s="261" customFormat="1" ht="33.75" customHeight="1" x14ac:dyDescent="0.25">
      <c r="A445" s="262">
        <v>2</v>
      </c>
      <c r="B445" s="257" t="s">
        <v>296</v>
      </c>
      <c r="C445" s="137">
        <v>0.5</v>
      </c>
      <c r="D445" s="263"/>
      <c r="E445" s="260">
        <v>4334</v>
      </c>
      <c r="F445" s="259">
        <f>C445*E445</f>
        <v>2167</v>
      </c>
      <c r="G445" s="259"/>
      <c r="H445" s="260"/>
      <c r="I445" s="260"/>
      <c r="J445" s="260"/>
      <c r="K445" s="260"/>
      <c r="L445" s="260"/>
      <c r="M445" s="260"/>
      <c r="N445" s="260">
        <f>ROUNDUP(F445*30%,0)</f>
        <v>651</v>
      </c>
      <c r="O445" s="260"/>
      <c r="P445" s="260"/>
      <c r="Q445" s="260">
        <f>ROUNDUP(F445*25%,0)</f>
        <v>542</v>
      </c>
      <c r="R445" s="260"/>
      <c r="S445" s="260">
        <f>ROUNDUP(F445*15%,0)</f>
        <v>326</v>
      </c>
      <c r="T445" s="260"/>
      <c r="U445" s="260"/>
      <c r="V445" s="260"/>
      <c r="W445" s="260">
        <f>SUM(H445:V445)</f>
        <v>1519</v>
      </c>
      <c r="X445" s="259">
        <f>F445+W445</f>
        <v>3686</v>
      </c>
      <c r="Y445" s="259">
        <f>X445*8</f>
        <v>29488</v>
      </c>
    </row>
    <row r="446" spans="1:29" ht="39" customHeight="1" x14ac:dyDescent="0.25">
      <c r="A446" s="59"/>
      <c r="B446" s="59"/>
      <c r="C446" s="215">
        <f>SUM(C444:C445)</f>
        <v>1.5</v>
      </c>
      <c r="D446" s="215"/>
      <c r="E446" s="215"/>
      <c r="F446" s="215">
        <f t="shared" ref="F446:AC446" si="124">SUM(F444:F445)</f>
        <v>6729</v>
      </c>
      <c r="G446" s="215"/>
      <c r="H446" s="215">
        <f t="shared" si="124"/>
        <v>0</v>
      </c>
      <c r="I446" s="215">
        <f t="shared" si="124"/>
        <v>0</v>
      </c>
      <c r="J446" s="215">
        <f t="shared" si="124"/>
        <v>0</v>
      </c>
      <c r="K446" s="215">
        <f t="shared" si="124"/>
        <v>0</v>
      </c>
      <c r="L446" s="215">
        <f t="shared" si="124"/>
        <v>0</v>
      </c>
      <c r="M446" s="215">
        <f t="shared" si="124"/>
        <v>0</v>
      </c>
      <c r="N446" s="215">
        <f t="shared" si="124"/>
        <v>2020</v>
      </c>
      <c r="O446" s="215">
        <f t="shared" si="124"/>
        <v>0</v>
      </c>
      <c r="P446" s="215">
        <f t="shared" si="124"/>
        <v>0</v>
      </c>
      <c r="Q446" s="215">
        <f t="shared" si="124"/>
        <v>1683</v>
      </c>
      <c r="R446" s="215">
        <f t="shared" si="124"/>
        <v>0</v>
      </c>
      <c r="S446" s="215">
        <f t="shared" si="124"/>
        <v>1011</v>
      </c>
      <c r="T446" s="215">
        <f t="shared" si="124"/>
        <v>0</v>
      </c>
      <c r="U446" s="215">
        <f t="shared" si="124"/>
        <v>0</v>
      </c>
      <c r="V446" s="215">
        <f t="shared" si="124"/>
        <v>0</v>
      </c>
      <c r="W446" s="215">
        <f t="shared" si="124"/>
        <v>4714</v>
      </c>
      <c r="X446" s="143">
        <f t="shared" si="124"/>
        <v>11443</v>
      </c>
      <c r="Y446" s="143">
        <f t="shared" si="124"/>
        <v>91544</v>
      </c>
      <c r="Z446" s="215">
        <f t="shared" si="124"/>
        <v>0</v>
      </c>
      <c r="AA446" s="215">
        <f t="shared" si="124"/>
        <v>0</v>
      </c>
      <c r="AB446" s="215">
        <f t="shared" si="124"/>
        <v>0</v>
      </c>
      <c r="AC446" s="215">
        <f t="shared" si="124"/>
        <v>0</v>
      </c>
    </row>
    <row r="447" spans="1:29" ht="30" customHeight="1" x14ac:dyDescent="0.25">
      <c r="A447" s="174" t="s">
        <v>95</v>
      </c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6"/>
    </row>
    <row r="448" spans="1:29" ht="27" customHeight="1" x14ac:dyDescent="0.25">
      <c r="A448" s="174" t="s">
        <v>297</v>
      </c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6"/>
    </row>
    <row r="449" spans="1:29" ht="30" customHeight="1" x14ac:dyDescent="0.25">
      <c r="A449" s="163">
        <v>1</v>
      </c>
      <c r="B449" s="164" t="s">
        <v>97</v>
      </c>
      <c r="C449" s="163">
        <v>1</v>
      </c>
      <c r="D449" s="163">
        <v>11</v>
      </c>
      <c r="E449" s="163">
        <v>2334</v>
      </c>
      <c r="F449" s="186">
        <f t="shared" ref="F449:F468" si="125">E449*C449</f>
        <v>2334</v>
      </c>
      <c r="G449" s="186"/>
      <c r="H449" s="163"/>
      <c r="I449" s="59">
        <f>ROUNDUP(F449*20%,0)</f>
        <v>467</v>
      </c>
      <c r="J449" s="163"/>
      <c r="K449" s="163"/>
      <c r="L449" s="163"/>
      <c r="M449" s="163"/>
      <c r="N449" s="163">
        <f>ROUNDUP(F449*30%,0)</f>
        <v>701</v>
      </c>
      <c r="O449" s="163"/>
      <c r="P449" s="163"/>
      <c r="Q449" s="163"/>
      <c r="R449" s="163"/>
      <c r="S449" s="163">
        <f>ROUNDUP(E449*15%,0)</f>
        <v>351</v>
      </c>
      <c r="T449" s="163">
        <f>ROUNDUP(E449*144%,0)</f>
        <v>3361</v>
      </c>
      <c r="U449" s="163"/>
      <c r="V449" s="163"/>
      <c r="W449" s="137">
        <f t="shared" ref="W449:W462" si="126">SUM(H449:V449)</f>
        <v>4880</v>
      </c>
      <c r="X449" s="186">
        <f t="shared" ref="X449:X457" si="127">F449+W449</f>
        <v>7214</v>
      </c>
      <c r="Y449" s="186">
        <f>X449*8</f>
        <v>57712</v>
      </c>
    </row>
    <row r="450" spans="1:29" ht="30" customHeight="1" x14ac:dyDescent="0.25">
      <c r="A450" s="163">
        <v>2</v>
      </c>
      <c r="B450" s="164" t="s">
        <v>99</v>
      </c>
      <c r="C450" s="163">
        <f>18-1-1+1</f>
        <v>17</v>
      </c>
      <c r="D450" s="163">
        <v>9</v>
      </c>
      <c r="E450" s="163">
        <v>2050</v>
      </c>
      <c r="F450" s="186">
        <f t="shared" si="125"/>
        <v>34850</v>
      </c>
      <c r="G450" s="186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>
        <f>ROUNDUP(E450*376%,0)</f>
        <v>7708</v>
      </c>
      <c r="U450" s="163"/>
      <c r="V450" s="163"/>
      <c r="W450" s="137">
        <f t="shared" si="126"/>
        <v>7708</v>
      </c>
      <c r="X450" s="186">
        <f t="shared" si="127"/>
        <v>42558</v>
      </c>
      <c r="Y450" s="186">
        <f t="shared" ref="Y450:Y462" si="128">X450*8</f>
        <v>340464</v>
      </c>
    </row>
    <row r="451" spans="1:29" ht="30" customHeight="1" x14ac:dyDescent="0.25">
      <c r="A451" s="163">
        <v>3</v>
      </c>
      <c r="B451" s="207" t="s">
        <v>100</v>
      </c>
      <c r="C451" s="163">
        <v>5</v>
      </c>
      <c r="D451" s="163">
        <v>8</v>
      </c>
      <c r="E451" s="163">
        <v>1943</v>
      </c>
      <c r="F451" s="186">
        <f t="shared" si="125"/>
        <v>9715</v>
      </c>
      <c r="G451" s="186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>
        <f>ROUNDUP(E451*16%,0)</f>
        <v>311</v>
      </c>
      <c r="U451" s="163"/>
      <c r="V451" s="163"/>
      <c r="W451" s="137">
        <f t="shared" si="126"/>
        <v>311</v>
      </c>
      <c r="X451" s="186">
        <f t="shared" si="127"/>
        <v>10026</v>
      </c>
      <c r="Y451" s="186">
        <f t="shared" si="128"/>
        <v>80208</v>
      </c>
    </row>
    <row r="452" spans="1:29" ht="30" customHeight="1" x14ac:dyDescent="0.25">
      <c r="A452" s="163">
        <v>4</v>
      </c>
      <c r="B452" s="207" t="s">
        <v>101</v>
      </c>
      <c r="C452" s="163">
        <f>9-1+1+1-1-1-1</f>
        <v>7</v>
      </c>
      <c r="D452" s="163">
        <v>7</v>
      </c>
      <c r="E452" s="163">
        <v>1825</v>
      </c>
      <c r="F452" s="186">
        <f t="shared" si="125"/>
        <v>12775</v>
      </c>
      <c r="G452" s="186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>
        <f>ROUNDUP(E452*8%,0)</f>
        <v>146</v>
      </c>
      <c r="U452" s="163"/>
      <c r="V452" s="163"/>
      <c r="W452" s="137">
        <f t="shared" si="126"/>
        <v>146</v>
      </c>
      <c r="X452" s="186">
        <f t="shared" si="127"/>
        <v>12921</v>
      </c>
      <c r="Y452" s="186">
        <f t="shared" si="128"/>
        <v>103368</v>
      </c>
    </row>
    <row r="453" spans="1:29" ht="30" customHeight="1" x14ac:dyDescent="0.25">
      <c r="A453" s="163">
        <v>5</v>
      </c>
      <c r="B453" s="164" t="s">
        <v>104</v>
      </c>
      <c r="C453" s="163">
        <f>2-0.25</f>
        <v>1.75</v>
      </c>
      <c r="D453" s="163">
        <v>11</v>
      </c>
      <c r="E453" s="163">
        <v>2334</v>
      </c>
      <c r="F453" s="186">
        <f t="shared" si="125"/>
        <v>4084.5</v>
      </c>
      <c r="G453" s="186"/>
      <c r="H453" s="163"/>
      <c r="I453" s="59">
        <f>ROUNDUP(F453*20%,0)</f>
        <v>817</v>
      </c>
      <c r="J453" s="163"/>
      <c r="K453" s="163"/>
      <c r="L453" s="163"/>
      <c r="M453" s="163"/>
      <c r="N453" s="163">
        <f>ROUNDUP(F453*30%,0)</f>
        <v>1226</v>
      </c>
      <c r="O453" s="163"/>
      <c r="P453" s="163"/>
      <c r="Q453" s="163"/>
      <c r="R453" s="163"/>
      <c r="S453" s="163"/>
      <c r="T453" s="163">
        <f>ROUNDUP(E453*24%,0)</f>
        <v>561</v>
      </c>
      <c r="U453" s="163"/>
      <c r="V453" s="163"/>
      <c r="W453" s="137">
        <f t="shared" si="126"/>
        <v>2604</v>
      </c>
      <c r="X453" s="186">
        <f t="shared" si="127"/>
        <v>6688.5</v>
      </c>
      <c r="Y453" s="186">
        <f t="shared" si="128"/>
        <v>53508</v>
      </c>
    </row>
    <row r="454" spans="1:29" ht="30" customHeight="1" x14ac:dyDescent="0.25">
      <c r="A454" s="163">
        <v>6</v>
      </c>
      <c r="B454" s="207" t="s">
        <v>105</v>
      </c>
      <c r="C454" s="163">
        <v>2</v>
      </c>
      <c r="D454" s="163">
        <v>6</v>
      </c>
      <c r="E454" s="163">
        <v>1718</v>
      </c>
      <c r="F454" s="186">
        <f t="shared" si="125"/>
        <v>3436</v>
      </c>
      <c r="G454" s="186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>
        <f>ROUNDUP(E454*24%,0)</f>
        <v>413</v>
      </c>
      <c r="U454" s="163"/>
      <c r="V454" s="163"/>
      <c r="W454" s="137">
        <f t="shared" si="126"/>
        <v>413</v>
      </c>
      <c r="X454" s="186">
        <f t="shared" si="127"/>
        <v>3849</v>
      </c>
      <c r="Y454" s="186">
        <f>X454*8-E454*2</f>
        <v>27356</v>
      </c>
    </row>
    <row r="455" spans="1:29" ht="30" customHeight="1" x14ac:dyDescent="0.25">
      <c r="A455" s="163">
        <v>7</v>
      </c>
      <c r="B455" s="207" t="s">
        <v>298</v>
      </c>
      <c r="C455" s="163">
        <f>17-0.75-1-1+1-0.75-0.25-1</f>
        <v>13.25</v>
      </c>
      <c r="D455" s="166">
        <v>5</v>
      </c>
      <c r="E455" s="166">
        <v>1612</v>
      </c>
      <c r="F455" s="186">
        <f t="shared" si="125"/>
        <v>21359</v>
      </c>
      <c r="G455" s="186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37">
        <f t="shared" si="126"/>
        <v>0</v>
      </c>
      <c r="X455" s="186">
        <f t="shared" si="127"/>
        <v>21359</v>
      </c>
      <c r="Y455" s="186">
        <f>X455*8</f>
        <v>170872</v>
      </c>
    </row>
    <row r="456" spans="1:29" ht="20.100000000000001" customHeight="1" x14ac:dyDescent="0.25">
      <c r="A456" s="163">
        <v>8</v>
      </c>
      <c r="B456" s="164" t="s">
        <v>107</v>
      </c>
      <c r="C456" s="166">
        <f>10.25+11.25-6.5</f>
        <v>15</v>
      </c>
      <c r="D456" s="166">
        <v>4</v>
      </c>
      <c r="E456" s="166">
        <v>1543</v>
      </c>
      <c r="F456" s="165">
        <f t="shared" si="125"/>
        <v>23145</v>
      </c>
      <c r="G456" s="165"/>
      <c r="H456" s="138"/>
      <c r="I456" s="138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163">
        <f>ROUNDUP(E456*2*8%,0)</f>
        <v>247</v>
      </c>
      <c r="U456" s="59"/>
      <c r="V456" s="59"/>
      <c r="W456" s="139">
        <f>SUM(H456:V456)</f>
        <v>247</v>
      </c>
      <c r="X456" s="138">
        <f t="shared" si="127"/>
        <v>23392</v>
      </c>
      <c r="Y456" s="186">
        <f t="shared" si="128"/>
        <v>187136</v>
      </c>
    </row>
    <row r="457" spans="1:29" ht="30" customHeight="1" x14ac:dyDescent="0.25">
      <c r="A457" s="163">
        <v>9</v>
      </c>
      <c r="B457" s="207" t="s">
        <v>299</v>
      </c>
      <c r="C457" s="163">
        <f>3+1</f>
        <v>4</v>
      </c>
      <c r="D457" s="163">
        <v>7</v>
      </c>
      <c r="E457" s="163">
        <v>1825</v>
      </c>
      <c r="F457" s="186">
        <f t="shared" si="125"/>
        <v>7300</v>
      </c>
      <c r="G457" s="186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37">
        <f t="shared" si="126"/>
        <v>0</v>
      </c>
      <c r="X457" s="186">
        <f t="shared" si="127"/>
        <v>7300</v>
      </c>
      <c r="Y457" s="186">
        <f t="shared" si="128"/>
        <v>58400</v>
      </c>
    </row>
    <row r="458" spans="1:29" ht="30" customHeight="1" x14ac:dyDescent="0.25">
      <c r="A458" s="163">
        <v>10</v>
      </c>
      <c r="B458" s="207" t="s">
        <v>121</v>
      </c>
      <c r="C458" s="163">
        <v>1</v>
      </c>
      <c r="D458" s="163">
        <v>5</v>
      </c>
      <c r="E458" s="163">
        <v>1612</v>
      </c>
      <c r="F458" s="186">
        <f t="shared" si="125"/>
        <v>1612</v>
      </c>
      <c r="G458" s="186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37">
        <f>SUM(H458:V458)</f>
        <v>0</v>
      </c>
      <c r="X458" s="186">
        <f>F458+W458</f>
        <v>1612</v>
      </c>
      <c r="Y458" s="186">
        <f t="shared" si="128"/>
        <v>12896</v>
      </c>
    </row>
    <row r="459" spans="1:29" ht="30" customHeight="1" x14ac:dyDescent="0.25">
      <c r="A459" s="163">
        <v>11</v>
      </c>
      <c r="B459" s="164" t="s">
        <v>300</v>
      </c>
      <c r="C459" s="163">
        <v>2</v>
      </c>
      <c r="D459" s="163">
        <v>3</v>
      </c>
      <c r="E459" s="134">
        <v>1532</v>
      </c>
      <c r="F459" s="186">
        <f>E459*C459</f>
        <v>3064</v>
      </c>
      <c r="G459" s="186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>
        <f>ROUNDUP(F459*50%,0)</f>
        <v>1532</v>
      </c>
      <c r="W459" s="163">
        <f t="shared" si="126"/>
        <v>1532</v>
      </c>
      <c r="X459" s="186">
        <f>C459*E459+W459</f>
        <v>4596</v>
      </c>
      <c r="Y459" s="186">
        <f t="shared" si="128"/>
        <v>36768</v>
      </c>
    </row>
    <row r="460" spans="1:29" ht="30" customHeight="1" x14ac:dyDescent="0.25">
      <c r="A460" s="163">
        <v>12</v>
      </c>
      <c r="B460" s="164" t="s">
        <v>300</v>
      </c>
      <c r="C460" s="163">
        <v>4</v>
      </c>
      <c r="D460" s="163">
        <v>2</v>
      </c>
      <c r="E460" s="134">
        <v>1521</v>
      </c>
      <c r="F460" s="186">
        <f>E460*C460</f>
        <v>6084</v>
      </c>
      <c r="G460" s="186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>
        <f>ROUNDUP(F460*50%,0)</f>
        <v>3042</v>
      </c>
      <c r="W460" s="163">
        <f t="shared" si="126"/>
        <v>3042</v>
      </c>
      <c r="X460" s="186">
        <f>C460*E460+W460</f>
        <v>9126</v>
      </c>
      <c r="Y460" s="186">
        <f t="shared" si="128"/>
        <v>73008</v>
      </c>
    </row>
    <row r="461" spans="1:29" ht="30" customHeight="1" x14ac:dyDescent="0.25">
      <c r="A461" s="163"/>
      <c r="B461" s="164" t="s">
        <v>37</v>
      </c>
      <c r="C461" s="163"/>
      <c r="D461" s="163"/>
      <c r="E461" s="163"/>
      <c r="F461" s="163"/>
      <c r="G461" s="163"/>
      <c r="H461" s="163"/>
      <c r="I461" s="163"/>
      <c r="J461" s="186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>
        <v>12401</v>
      </c>
      <c r="U461" s="163"/>
      <c r="V461" s="163"/>
      <c r="W461" s="137">
        <f t="shared" si="126"/>
        <v>12401</v>
      </c>
      <c r="X461" s="186">
        <f>F461+W461</f>
        <v>12401</v>
      </c>
      <c r="Y461" s="186">
        <f t="shared" si="128"/>
        <v>99208</v>
      </c>
    </row>
    <row r="462" spans="1:29" ht="30" customHeight="1" x14ac:dyDescent="0.25">
      <c r="A462" s="163"/>
      <c r="B462" s="194" t="s">
        <v>301</v>
      </c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>
        <v>1255</v>
      </c>
      <c r="U462" s="163"/>
      <c r="V462" s="163"/>
      <c r="W462" s="137">
        <f t="shared" si="126"/>
        <v>1255</v>
      </c>
      <c r="X462" s="186">
        <f>F462+W462</f>
        <v>1255</v>
      </c>
      <c r="Y462" s="186">
        <f t="shared" si="128"/>
        <v>10040</v>
      </c>
    </row>
    <row r="463" spans="1:29" ht="30" customHeight="1" x14ac:dyDescent="0.25">
      <c r="A463" s="163"/>
      <c r="B463" s="141" t="s">
        <v>302</v>
      </c>
      <c r="C463" s="178">
        <f>SUM(C449:C462)</f>
        <v>73</v>
      </c>
      <c r="D463" s="178"/>
      <c r="E463" s="178"/>
      <c r="F463" s="178">
        <f>SUM(F449:F462)</f>
        <v>129758.5</v>
      </c>
      <c r="G463" s="178"/>
      <c r="H463" s="178">
        <f t="shared" ref="H463:AC463" si="129">SUM(H449:H462)</f>
        <v>0</v>
      </c>
      <c r="I463" s="178">
        <f t="shared" si="129"/>
        <v>1284</v>
      </c>
      <c r="J463" s="178">
        <f t="shared" si="129"/>
        <v>0</v>
      </c>
      <c r="K463" s="178">
        <f t="shared" si="129"/>
        <v>0</v>
      </c>
      <c r="L463" s="178">
        <f t="shared" si="129"/>
        <v>0</v>
      </c>
      <c r="M463" s="178">
        <f t="shared" si="129"/>
        <v>0</v>
      </c>
      <c r="N463" s="178">
        <f t="shared" si="129"/>
        <v>1927</v>
      </c>
      <c r="O463" s="178">
        <f t="shared" si="129"/>
        <v>0</v>
      </c>
      <c r="P463" s="178">
        <f t="shared" si="129"/>
        <v>0</v>
      </c>
      <c r="Q463" s="178">
        <f t="shared" si="129"/>
        <v>0</v>
      </c>
      <c r="R463" s="178">
        <f t="shared" si="129"/>
        <v>0</v>
      </c>
      <c r="S463" s="178">
        <f t="shared" si="129"/>
        <v>351</v>
      </c>
      <c r="T463" s="178">
        <f t="shared" si="129"/>
        <v>26403</v>
      </c>
      <c r="U463" s="178">
        <f t="shared" si="129"/>
        <v>0</v>
      </c>
      <c r="V463" s="178">
        <f t="shared" si="129"/>
        <v>4574</v>
      </c>
      <c r="W463" s="178">
        <f t="shared" si="129"/>
        <v>34539</v>
      </c>
      <c r="X463" s="171">
        <f t="shared" si="129"/>
        <v>164297.5</v>
      </c>
      <c r="Y463" s="171">
        <f t="shared" si="129"/>
        <v>1310944</v>
      </c>
      <c r="Z463" s="178">
        <f t="shared" si="129"/>
        <v>0</v>
      </c>
      <c r="AA463" s="178">
        <f t="shared" si="129"/>
        <v>0</v>
      </c>
      <c r="AB463" s="178">
        <f t="shared" si="129"/>
        <v>0</v>
      </c>
      <c r="AC463" s="178">
        <f t="shared" si="129"/>
        <v>0</v>
      </c>
    </row>
    <row r="464" spans="1:29" ht="30" customHeight="1" x14ac:dyDescent="0.25">
      <c r="A464" s="230" t="s">
        <v>109</v>
      </c>
      <c r="B464" s="231"/>
      <c r="C464" s="231"/>
      <c r="D464" s="231"/>
      <c r="E464" s="231"/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2"/>
    </row>
    <row r="465" spans="1:25" ht="30" customHeight="1" x14ac:dyDescent="0.25">
      <c r="A465" s="163">
        <v>1</v>
      </c>
      <c r="B465" s="164" t="s">
        <v>303</v>
      </c>
      <c r="C465" s="163">
        <v>1</v>
      </c>
      <c r="D465" s="163">
        <v>9</v>
      </c>
      <c r="E465" s="163">
        <v>2050</v>
      </c>
      <c r="F465" s="186">
        <f>E465*C465</f>
        <v>2050</v>
      </c>
      <c r="G465" s="186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37">
        <f>SUM(H465:V465)</f>
        <v>0</v>
      </c>
      <c r="X465" s="186">
        <f>F465+W465</f>
        <v>2050</v>
      </c>
      <c r="Y465" s="186">
        <f>X465*8</f>
        <v>16400</v>
      </c>
    </row>
    <row r="466" spans="1:25" ht="30" customHeight="1" x14ac:dyDescent="0.25">
      <c r="A466" s="163">
        <v>2</v>
      </c>
      <c r="B466" s="164" t="s">
        <v>99</v>
      </c>
      <c r="C466" s="163">
        <v>1</v>
      </c>
      <c r="D466" s="163">
        <v>9</v>
      </c>
      <c r="E466" s="163">
        <v>2050</v>
      </c>
      <c r="F466" s="186">
        <f>E466*C466</f>
        <v>2050</v>
      </c>
      <c r="G466" s="186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37">
        <f>SUM(H466:V466)</f>
        <v>0</v>
      </c>
      <c r="X466" s="186">
        <f>F466+W466</f>
        <v>2050</v>
      </c>
      <c r="Y466" s="186">
        <f>X466*8</f>
        <v>16400</v>
      </c>
    </row>
    <row r="467" spans="1:25" ht="30" customHeight="1" x14ac:dyDescent="0.25">
      <c r="A467" s="163">
        <v>3</v>
      </c>
      <c r="B467" s="207" t="s">
        <v>101</v>
      </c>
      <c r="C467" s="163">
        <v>1</v>
      </c>
      <c r="D467" s="163">
        <v>7</v>
      </c>
      <c r="E467" s="163">
        <v>1825</v>
      </c>
      <c r="F467" s="186">
        <f>E467*C467</f>
        <v>1825</v>
      </c>
      <c r="G467" s="186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>
        <f>ROUNDUP(E467*8%,0)</f>
        <v>146</v>
      </c>
      <c r="U467" s="163"/>
      <c r="V467" s="163"/>
      <c r="W467" s="137">
        <f>SUM(H467:V467)</f>
        <v>146</v>
      </c>
      <c r="X467" s="186">
        <f>F467+W467</f>
        <v>1971</v>
      </c>
      <c r="Y467" s="186">
        <f>X467*8</f>
        <v>15768</v>
      </c>
    </row>
    <row r="468" spans="1:25" ht="30" customHeight="1" x14ac:dyDescent="0.25">
      <c r="A468" s="163">
        <v>4</v>
      </c>
      <c r="B468" s="164" t="s">
        <v>304</v>
      </c>
      <c r="C468" s="163">
        <v>2</v>
      </c>
      <c r="D468" s="163">
        <v>4</v>
      </c>
      <c r="E468" s="163">
        <v>1543</v>
      </c>
      <c r="F468" s="186">
        <f t="shared" si="125"/>
        <v>3086</v>
      </c>
      <c r="G468" s="186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37">
        <f>SUM(H468:V468)</f>
        <v>0</v>
      </c>
      <c r="X468" s="186">
        <f>F468+W468</f>
        <v>3086</v>
      </c>
      <c r="Y468" s="186">
        <f>X468*8</f>
        <v>24688</v>
      </c>
    </row>
    <row r="469" spans="1:25" ht="30" customHeight="1" x14ac:dyDescent="0.25">
      <c r="A469" s="168"/>
      <c r="B469" s="141" t="s">
        <v>305</v>
      </c>
      <c r="C469" s="189">
        <f>SUM(C465:C468)</f>
        <v>5</v>
      </c>
      <c r="D469" s="189"/>
      <c r="E469" s="189"/>
      <c r="F469" s="190">
        <f t="shared" ref="F469:Y469" si="130">SUM(F465:F468)</f>
        <v>9011</v>
      </c>
      <c r="G469" s="190"/>
      <c r="H469" s="198">
        <f t="shared" si="130"/>
        <v>0</v>
      </c>
      <c r="I469" s="198">
        <f t="shared" si="130"/>
        <v>0</v>
      </c>
      <c r="J469" s="198">
        <f t="shared" si="130"/>
        <v>0</v>
      </c>
      <c r="K469" s="198">
        <f t="shared" si="130"/>
        <v>0</v>
      </c>
      <c r="L469" s="198">
        <f t="shared" si="130"/>
        <v>0</v>
      </c>
      <c r="M469" s="198">
        <f t="shared" si="130"/>
        <v>0</v>
      </c>
      <c r="N469" s="198">
        <f t="shared" si="130"/>
        <v>0</v>
      </c>
      <c r="O469" s="198">
        <f t="shared" si="130"/>
        <v>0</v>
      </c>
      <c r="P469" s="198">
        <f t="shared" si="130"/>
        <v>0</v>
      </c>
      <c r="Q469" s="198">
        <f t="shared" si="130"/>
        <v>0</v>
      </c>
      <c r="R469" s="198">
        <f t="shared" si="130"/>
        <v>0</v>
      </c>
      <c r="S469" s="198">
        <f t="shared" si="130"/>
        <v>0</v>
      </c>
      <c r="T469" s="198">
        <f t="shared" si="130"/>
        <v>146</v>
      </c>
      <c r="U469" s="198">
        <f t="shared" si="130"/>
        <v>0</v>
      </c>
      <c r="V469" s="198">
        <f t="shared" si="130"/>
        <v>0</v>
      </c>
      <c r="W469" s="190">
        <f t="shared" si="130"/>
        <v>146</v>
      </c>
      <c r="X469" s="190">
        <f t="shared" si="130"/>
        <v>9157</v>
      </c>
      <c r="Y469" s="190">
        <f t="shared" si="130"/>
        <v>73256</v>
      </c>
    </row>
    <row r="470" spans="1:25" ht="21.75" customHeight="1" x14ac:dyDescent="0.25">
      <c r="A470" s="174" t="s">
        <v>114</v>
      </c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6"/>
    </row>
    <row r="471" spans="1:25" ht="21.75" customHeight="1" x14ac:dyDescent="0.25">
      <c r="A471" s="134">
        <v>1</v>
      </c>
      <c r="B471" s="135" t="s">
        <v>306</v>
      </c>
      <c r="C471" s="246">
        <v>1</v>
      </c>
      <c r="D471" s="246">
        <v>24</v>
      </c>
      <c r="E471" s="246">
        <v>5167</v>
      </c>
      <c r="F471" s="186">
        <f>E471</f>
        <v>5167</v>
      </c>
      <c r="G471" s="186"/>
      <c r="H471" s="163"/>
      <c r="I471" s="163"/>
      <c r="J471" s="163"/>
      <c r="K471" s="163">
        <f>ROUNDUP(E471*20%,0)</f>
        <v>1034</v>
      </c>
      <c r="L471" s="163"/>
      <c r="M471" s="163"/>
      <c r="N471" s="163"/>
      <c r="O471" s="163"/>
      <c r="P471" s="163"/>
      <c r="Q471" s="163"/>
      <c r="R471" s="163">
        <f>ROUNDUP(F471*20%,0)</f>
        <v>1034</v>
      </c>
      <c r="S471" s="246"/>
      <c r="T471" s="246"/>
      <c r="U471" s="246"/>
      <c r="V471" s="246"/>
      <c r="W471" s="186">
        <f>SUM(H471:V471)</f>
        <v>2068</v>
      </c>
      <c r="X471" s="186">
        <f>F471+W471</f>
        <v>7235</v>
      </c>
      <c r="Y471" s="186">
        <f>X471*8</f>
        <v>57880</v>
      </c>
    </row>
    <row r="472" spans="1:25" ht="21.75" customHeight="1" x14ac:dyDescent="0.25">
      <c r="A472" s="134">
        <v>2</v>
      </c>
      <c r="B472" s="135" t="s">
        <v>307</v>
      </c>
      <c r="C472" s="163">
        <v>1</v>
      </c>
      <c r="D472" s="163"/>
      <c r="E472" s="163">
        <v>3617</v>
      </c>
      <c r="F472" s="183">
        <f>E472*C472</f>
        <v>3617</v>
      </c>
      <c r="G472" s="18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>
        <f>SUM(J472:V472)</f>
        <v>0</v>
      </c>
      <c r="X472" s="186">
        <f>C472*E472+W472</f>
        <v>3617</v>
      </c>
      <c r="Y472" s="186">
        <f>X472*8</f>
        <v>28936</v>
      </c>
    </row>
    <row r="473" spans="1:25" ht="19.5" customHeight="1" x14ac:dyDescent="0.25">
      <c r="A473" s="134"/>
      <c r="B473" s="135"/>
      <c r="C473" s="189">
        <f>SUM(C471:C472)</f>
        <v>2</v>
      </c>
      <c r="D473" s="189"/>
      <c r="E473" s="163"/>
      <c r="F473" s="171">
        <f>SUM(F471:F472)</f>
        <v>8784</v>
      </c>
      <c r="G473" s="171"/>
      <c r="H473" s="172">
        <f t="shared" ref="H473:Y473" si="131">SUM(H471:H472)</f>
        <v>0</v>
      </c>
      <c r="I473" s="172">
        <f t="shared" si="131"/>
        <v>0</v>
      </c>
      <c r="J473" s="172">
        <f t="shared" si="131"/>
        <v>0</v>
      </c>
      <c r="K473" s="172">
        <f t="shared" si="131"/>
        <v>1034</v>
      </c>
      <c r="L473" s="172">
        <f t="shared" si="131"/>
        <v>0</v>
      </c>
      <c r="M473" s="172">
        <f t="shared" si="131"/>
        <v>0</v>
      </c>
      <c r="N473" s="172">
        <f t="shared" si="131"/>
        <v>0</v>
      </c>
      <c r="O473" s="172">
        <f t="shared" si="131"/>
        <v>0</v>
      </c>
      <c r="P473" s="172">
        <f t="shared" si="131"/>
        <v>0</v>
      </c>
      <c r="Q473" s="172">
        <f t="shared" si="131"/>
        <v>0</v>
      </c>
      <c r="R473" s="172">
        <f t="shared" si="131"/>
        <v>1034</v>
      </c>
      <c r="S473" s="172">
        <f t="shared" si="131"/>
        <v>0</v>
      </c>
      <c r="T473" s="172">
        <f t="shared" si="131"/>
        <v>0</v>
      </c>
      <c r="U473" s="172">
        <f t="shared" si="131"/>
        <v>0</v>
      </c>
      <c r="V473" s="172">
        <f t="shared" si="131"/>
        <v>0</v>
      </c>
      <c r="W473" s="171">
        <f t="shared" si="131"/>
        <v>2068</v>
      </c>
      <c r="X473" s="171">
        <f t="shared" si="131"/>
        <v>10852</v>
      </c>
      <c r="Y473" s="171">
        <f t="shared" si="131"/>
        <v>86816</v>
      </c>
    </row>
    <row r="474" spans="1:25" ht="17.25" customHeight="1" x14ac:dyDescent="0.25">
      <c r="A474" s="174" t="s">
        <v>308</v>
      </c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6"/>
    </row>
    <row r="475" spans="1:25" ht="24.9" customHeight="1" x14ac:dyDescent="0.25">
      <c r="A475" s="134">
        <v>1</v>
      </c>
      <c r="B475" s="135" t="s">
        <v>309</v>
      </c>
      <c r="C475" s="163">
        <v>1</v>
      </c>
      <c r="D475" s="163">
        <v>7</v>
      </c>
      <c r="E475" s="163">
        <v>1825</v>
      </c>
      <c r="F475" s="186">
        <f t="shared" ref="F475:F489" si="132">E475*C475</f>
        <v>1825</v>
      </c>
      <c r="G475" s="186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>
        <f t="shared" ref="W475:W490" si="133">SUM(H475:V475)</f>
        <v>0</v>
      </c>
      <c r="X475" s="186">
        <f t="shared" ref="X475:X490" si="134">C475*E475+W475</f>
        <v>1825</v>
      </c>
      <c r="Y475" s="186">
        <f>X475*8</f>
        <v>14600</v>
      </c>
    </row>
    <row r="476" spans="1:25" ht="20.25" customHeight="1" x14ac:dyDescent="0.25">
      <c r="A476" s="134">
        <v>2</v>
      </c>
      <c r="B476" s="135" t="s">
        <v>310</v>
      </c>
      <c r="C476" s="163">
        <v>1</v>
      </c>
      <c r="D476" s="163">
        <v>7</v>
      </c>
      <c r="E476" s="163">
        <v>1825</v>
      </c>
      <c r="F476" s="186">
        <f t="shared" si="132"/>
        <v>1825</v>
      </c>
      <c r="G476" s="186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>
        <f t="shared" si="133"/>
        <v>0</v>
      </c>
      <c r="X476" s="186">
        <f t="shared" si="134"/>
        <v>1825</v>
      </c>
      <c r="Y476" s="186">
        <f t="shared" ref="Y476:Y490" si="135">X476*8</f>
        <v>14600</v>
      </c>
    </row>
    <row r="477" spans="1:25" ht="43.5" customHeight="1" x14ac:dyDescent="0.25">
      <c r="A477" s="134">
        <v>3</v>
      </c>
      <c r="B477" s="140" t="s">
        <v>311</v>
      </c>
      <c r="C477" s="163">
        <v>1</v>
      </c>
      <c r="D477" s="163">
        <v>10</v>
      </c>
      <c r="E477" s="163">
        <v>2157</v>
      </c>
      <c r="F477" s="186">
        <f t="shared" si="132"/>
        <v>2157</v>
      </c>
      <c r="G477" s="186"/>
      <c r="H477" s="163"/>
      <c r="I477" s="163"/>
      <c r="J477" s="163"/>
      <c r="K477" s="163"/>
      <c r="L477" s="163"/>
      <c r="M477" s="163"/>
      <c r="N477" s="163">
        <f>ROUNDUP(F477*30%,0)</f>
        <v>648</v>
      </c>
      <c r="O477" s="163"/>
      <c r="P477" s="163"/>
      <c r="Q477" s="163"/>
      <c r="R477" s="163"/>
      <c r="S477" s="163"/>
      <c r="T477" s="163"/>
      <c r="U477" s="163"/>
      <c r="V477" s="163"/>
      <c r="W477" s="163">
        <f t="shared" si="133"/>
        <v>648</v>
      </c>
      <c r="X477" s="186">
        <f t="shared" si="134"/>
        <v>2805</v>
      </c>
      <c r="Y477" s="186">
        <f t="shared" si="135"/>
        <v>22440</v>
      </c>
    </row>
    <row r="478" spans="1:25" ht="24.9" customHeight="1" x14ac:dyDescent="0.25">
      <c r="A478" s="134">
        <v>4</v>
      </c>
      <c r="B478" s="135" t="s">
        <v>312</v>
      </c>
      <c r="C478" s="163">
        <v>2</v>
      </c>
      <c r="D478" s="163">
        <v>6</v>
      </c>
      <c r="E478" s="163">
        <v>1718</v>
      </c>
      <c r="F478" s="186">
        <f t="shared" si="132"/>
        <v>3436</v>
      </c>
      <c r="G478" s="186"/>
      <c r="H478" s="163"/>
      <c r="I478" s="163"/>
      <c r="J478" s="163"/>
      <c r="K478" s="163"/>
      <c r="L478" s="163"/>
      <c r="M478" s="163"/>
      <c r="N478" s="163">
        <f>ROUNDUP(F478*30%,0)</f>
        <v>1031</v>
      </c>
      <c r="O478" s="163"/>
      <c r="P478" s="163"/>
      <c r="Q478" s="163"/>
      <c r="R478" s="163"/>
      <c r="S478" s="163"/>
      <c r="T478" s="163"/>
      <c r="U478" s="163"/>
      <c r="V478" s="163"/>
      <c r="W478" s="163">
        <f t="shared" si="133"/>
        <v>1031</v>
      </c>
      <c r="X478" s="186">
        <f t="shared" si="134"/>
        <v>4467</v>
      </c>
      <c r="Y478" s="186">
        <f t="shared" si="135"/>
        <v>35736</v>
      </c>
    </row>
    <row r="479" spans="1:25" ht="24.9" customHeight="1" x14ac:dyDescent="0.25">
      <c r="A479" s="134">
        <v>5</v>
      </c>
      <c r="B479" s="164" t="s">
        <v>103</v>
      </c>
      <c r="C479" s="163">
        <v>1</v>
      </c>
      <c r="D479" s="163">
        <v>6</v>
      </c>
      <c r="E479" s="163">
        <v>1718</v>
      </c>
      <c r="F479" s="186">
        <f>E479*C479</f>
        <v>1718</v>
      </c>
      <c r="G479" s="186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>
        <f t="shared" si="133"/>
        <v>0</v>
      </c>
      <c r="X479" s="186">
        <f t="shared" si="134"/>
        <v>1718</v>
      </c>
      <c r="Y479" s="186">
        <f t="shared" si="135"/>
        <v>13744</v>
      </c>
    </row>
    <row r="480" spans="1:25" ht="24.9" customHeight="1" x14ac:dyDescent="0.25">
      <c r="A480" s="134">
        <v>7</v>
      </c>
      <c r="B480" s="135" t="s">
        <v>313</v>
      </c>
      <c r="C480" s="163">
        <v>1</v>
      </c>
      <c r="D480" s="163">
        <v>9</v>
      </c>
      <c r="E480" s="163">
        <v>2050</v>
      </c>
      <c r="F480" s="186">
        <f t="shared" si="132"/>
        <v>2050</v>
      </c>
      <c r="G480" s="186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>
        <f t="shared" si="133"/>
        <v>0</v>
      </c>
      <c r="X480" s="186">
        <f t="shared" si="134"/>
        <v>2050</v>
      </c>
      <c r="Y480" s="186">
        <f t="shared" si="135"/>
        <v>16400</v>
      </c>
    </row>
    <row r="481" spans="1:25" ht="24.9" customHeight="1" x14ac:dyDescent="0.25">
      <c r="A481" s="134">
        <v>8</v>
      </c>
      <c r="B481" s="164" t="s">
        <v>314</v>
      </c>
      <c r="C481" s="166">
        <v>3</v>
      </c>
      <c r="D481" s="166">
        <v>5</v>
      </c>
      <c r="E481" s="137">
        <v>1612</v>
      </c>
      <c r="F481" s="138">
        <f>E481*C481</f>
        <v>4836</v>
      </c>
      <c r="G481" s="138"/>
      <c r="H481" s="139"/>
      <c r="I481" s="13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139">
        <f t="shared" si="133"/>
        <v>0</v>
      </c>
      <c r="X481" s="138">
        <f t="shared" si="134"/>
        <v>4836</v>
      </c>
      <c r="Y481" s="186">
        <f t="shared" si="135"/>
        <v>38688</v>
      </c>
    </row>
    <row r="482" spans="1:25" ht="24.9" customHeight="1" x14ac:dyDescent="0.25">
      <c r="A482" s="134">
        <v>9</v>
      </c>
      <c r="B482" s="194" t="s">
        <v>256</v>
      </c>
      <c r="C482" s="166">
        <f>24-2</f>
        <v>22</v>
      </c>
      <c r="D482" s="204">
        <v>3</v>
      </c>
      <c r="E482" s="137">
        <v>1532</v>
      </c>
      <c r="F482" s="138">
        <f>E482*C482</f>
        <v>33704</v>
      </c>
      <c r="G482" s="138"/>
      <c r="H482" s="139"/>
      <c r="I482" s="13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139">
        <f t="shared" si="133"/>
        <v>0</v>
      </c>
      <c r="X482" s="138">
        <f t="shared" si="134"/>
        <v>33704</v>
      </c>
      <c r="Y482" s="186">
        <f t="shared" si="135"/>
        <v>269632</v>
      </c>
    </row>
    <row r="483" spans="1:25" ht="24.9" customHeight="1" x14ac:dyDescent="0.25">
      <c r="A483" s="134">
        <v>10</v>
      </c>
      <c r="B483" s="164" t="s">
        <v>315</v>
      </c>
      <c r="C483" s="166">
        <v>3</v>
      </c>
      <c r="D483" s="166">
        <v>3</v>
      </c>
      <c r="E483" s="137">
        <v>1532</v>
      </c>
      <c r="F483" s="138">
        <f>E483*C483</f>
        <v>4596</v>
      </c>
      <c r="G483" s="138"/>
      <c r="H483" s="139"/>
      <c r="I483" s="13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139">
        <f t="shared" si="133"/>
        <v>0</v>
      </c>
      <c r="X483" s="138">
        <f t="shared" si="134"/>
        <v>4596</v>
      </c>
      <c r="Y483" s="186">
        <f t="shared" si="135"/>
        <v>36768</v>
      </c>
    </row>
    <row r="484" spans="1:25" ht="20.25" customHeight="1" x14ac:dyDescent="0.25">
      <c r="A484" s="134">
        <v>11</v>
      </c>
      <c r="B484" s="135" t="s">
        <v>316</v>
      </c>
      <c r="C484" s="163">
        <v>1</v>
      </c>
      <c r="D484" s="163">
        <v>2</v>
      </c>
      <c r="E484" s="137">
        <v>1521</v>
      </c>
      <c r="F484" s="186">
        <f t="shared" si="132"/>
        <v>1521</v>
      </c>
      <c r="G484" s="186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>
        <f t="shared" si="133"/>
        <v>0</v>
      </c>
      <c r="X484" s="186">
        <f t="shared" si="134"/>
        <v>1521</v>
      </c>
      <c r="Y484" s="186">
        <f t="shared" si="135"/>
        <v>12168</v>
      </c>
    </row>
    <row r="485" spans="1:25" ht="21" customHeight="1" x14ac:dyDescent="0.25">
      <c r="A485" s="134">
        <v>12</v>
      </c>
      <c r="B485" s="135" t="s">
        <v>317</v>
      </c>
      <c r="C485" s="163">
        <v>3</v>
      </c>
      <c r="D485" s="163">
        <v>2</v>
      </c>
      <c r="E485" s="137">
        <v>1521</v>
      </c>
      <c r="F485" s="186">
        <f t="shared" si="132"/>
        <v>4563</v>
      </c>
      <c r="G485" s="186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>
        <f t="shared" si="133"/>
        <v>0</v>
      </c>
      <c r="X485" s="186">
        <f t="shared" si="134"/>
        <v>4563</v>
      </c>
      <c r="Y485" s="186">
        <f t="shared" si="135"/>
        <v>36504</v>
      </c>
    </row>
    <row r="486" spans="1:25" ht="19.5" customHeight="1" x14ac:dyDescent="0.25">
      <c r="A486" s="134">
        <v>13</v>
      </c>
      <c r="B486" s="135" t="s">
        <v>318</v>
      </c>
      <c r="C486" s="163">
        <v>1</v>
      </c>
      <c r="D486" s="163">
        <v>2</v>
      </c>
      <c r="E486" s="137">
        <v>1521</v>
      </c>
      <c r="F486" s="186">
        <f t="shared" si="132"/>
        <v>1521</v>
      </c>
      <c r="G486" s="186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>
        <f>ROUNDUP(F486*10%,0)</f>
        <v>153</v>
      </c>
      <c r="U486" s="163"/>
      <c r="V486" s="163"/>
      <c r="W486" s="163">
        <f t="shared" si="133"/>
        <v>153</v>
      </c>
      <c r="X486" s="186">
        <f t="shared" si="134"/>
        <v>1674</v>
      </c>
      <c r="Y486" s="186">
        <f t="shared" si="135"/>
        <v>13392</v>
      </c>
    </row>
    <row r="487" spans="1:25" ht="19.5" customHeight="1" x14ac:dyDescent="0.25">
      <c r="A487" s="134">
        <v>14</v>
      </c>
      <c r="B487" s="164" t="s">
        <v>176</v>
      </c>
      <c r="C487" s="166">
        <v>2</v>
      </c>
      <c r="D487" s="166">
        <v>1</v>
      </c>
      <c r="E487" s="137">
        <v>1516</v>
      </c>
      <c r="F487" s="138">
        <f>E487*C487</f>
        <v>3032</v>
      </c>
      <c r="G487" s="138"/>
      <c r="H487" s="139"/>
      <c r="I487" s="13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139">
        <f>SUM(H487:V487)</f>
        <v>0</v>
      </c>
      <c r="X487" s="138">
        <f t="shared" si="134"/>
        <v>3032</v>
      </c>
      <c r="Y487" s="186">
        <f t="shared" si="135"/>
        <v>24256</v>
      </c>
    </row>
    <row r="488" spans="1:25" ht="20.25" customHeight="1" x14ac:dyDescent="0.25">
      <c r="A488" s="134">
        <v>15</v>
      </c>
      <c r="B488" s="164" t="s">
        <v>177</v>
      </c>
      <c r="C488" s="163">
        <v>1</v>
      </c>
      <c r="D488" s="163">
        <v>1</v>
      </c>
      <c r="E488" s="137">
        <v>1516</v>
      </c>
      <c r="F488" s="186">
        <f>E488*C488</f>
        <v>1516</v>
      </c>
      <c r="G488" s="186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>
        <f t="shared" si="133"/>
        <v>0</v>
      </c>
      <c r="X488" s="186">
        <f t="shared" si="134"/>
        <v>1516</v>
      </c>
      <c r="Y488" s="186">
        <f t="shared" si="135"/>
        <v>12128</v>
      </c>
    </row>
    <row r="489" spans="1:25" ht="21" customHeight="1" x14ac:dyDescent="0.25">
      <c r="A489" s="134">
        <v>16</v>
      </c>
      <c r="B489" s="135" t="s">
        <v>319</v>
      </c>
      <c r="C489" s="163">
        <v>1</v>
      </c>
      <c r="D489" s="163">
        <v>3</v>
      </c>
      <c r="E489" s="137">
        <v>1532</v>
      </c>
      <c r="F489" s="186">
        <f t="shared" si="132"/>
        <v>1532</v>
      </c>
      <c r="G489" s="186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>
        <f t="shared" si="133"/>
        <v>0</v>
      </c>
      <c r="X489" s="186">
        <f t="shared" si="134"/>
        <v>1532</v>
      </c>
      <c r="Y489" s="186">
        <f t="shared" si="135"/>
        <v>12256</v>
      </c>
    </row>
    <row r="490" spans="1:25" ht="24.9" customHeight="1" x14ac:dyDescent="0.25">
      <c r="A490" s="134">
        <v>17</v>
      </c>
      <c r="B490" s="135" t="s">
        <v>320</v>
      </c>
      <c r="C490" s="163">
        <v>1</v>
      </c>
      <c r="D490" s="134">
        <v>5</v>
      </c>
      <c r="E490" s="137">
        <v>1612</v>
      </c>
      <c r="F490" s="186">
        <f>E490*C490</f>
        <v>1612</v>
      </c>
      <c r="G490" s="186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>
        <f t="shared" si="133"/>
        <v>0</v>
      </c>
      <c r="X490" s="186">
        <f t="shared" si="134"/>
        <v>1612</v>
      </c>
      <c r="Y490" s="186">
        <f t="shared" si="135"/>
        <v>12896</v>
      </c>
    </row>
    <row r="491" spans="1:25" ht="18" customHeight="1" x14ac:dyDescent="0.25">
      <c r="A491" s="134"/>
      <c r="B491" s="135"/>
      <c r="C491" s="189">
        <f>SUM(C475:C490)</f>
        <v>45</v>
      </c>
      <c r="D491" s="189"/>
      <c r="E491" s="163"/>
      <c r="F491" s="171">
        <f t="shared" ref="F491:Y491" si="136">SUM(F475:F490)</f>
        <v>71444</v>
      </c>
      <c r="G491" s="171"/>
      <c r="H491" s="163">
        <f t="shared" si="136"/>
        <v>0</v>
      </c>
      <c r="I491" s="163">
        <f t="shared" si="136"/>
        <v>0</v>
      </c>
      <c r="J491" s="163">
        <f t="shared" si="136"/>
        <v>0</v>
      </c>
      <c r="K491" s="163">
        <f t="shared" si="136"/>
        <v>0</v>
      </c>
      <c r="L491" s="163">
        <f t="shared" si="136"/>
        <v>0</v>
      </c>
      <c r="M491" s="163">
        <f t="shared" si="136"/>
        <v>0</v>
      </c>
      <c r="N491" s="163">
        <f t="shared" si="136"/>
        <v>1679</v>
      </c>
      <c r="O491" s="163">
        <f t="shared" si="136"/>
        <v>0</v>
      </c>
      <c r="P491" s="163">
        <f t="shared" si="136"/>
        <v>0</v>
      </c>
      <c r="Q491" s="163">
        <f t="shared" si="136"/>
        <v>0</v>
      </c>
      <c r="R491" s="163">
        <f t="shared" si="136"/>
        <v>0</v>
      </c>
      <c r="S491" s="163">
        <f t="shared" si="136"/>
        <v>0</v>
      </c>
      <c r="T491" s="163">
        <f t="shared" si="136"/>
        <v>153</v>
      </c>
      <c r="U491" s="163">
        <f t="shared" si="136"/>
        <v>0</v>
      </c>
      <c r="V491" s="163">
        <f t="shared" si="136"/>
        <v>0</v>
      </c>
      <c r="W491" s="163">
        <f t="shared" si="136"/>
        <v>1832</v>
      </c>
      <c r="X491" s="190">
        <f t="shared" si="136"/>
        <v>73276</v>
      </c>
      <c r="Y491" s="190">
        <f t="shared" si="136"/>
        <v>586208</v>
      </c>
    </row>
    <row r="492" spans="1:25" ht="21.75" customHeight="1" x14ac:dyDescent="0.25">
      <c r="A492" s="264" t="s">
        <v>171</v>
      </c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6"/>
    </row>
    <row r="493" spans="1:25" ht="20.100000000000001" customHeight="1" x14ac:dyDescent="0.25">
      <c r="A493" s="267">
        <v>1</v>
      </c>
      <c r="B493" s="164" t="s">
        <v>102</v>
      </c>
      <c r="C493" s="163">
        <v>1</v>
      </c>
      <c r="D493" s="163">
        <v>7</v>
      </c>
      <c r="E493" s="134">
        <v>1825</v>
      </c>
      <c r="F493" s="186">
        <f t="shared" ref="F493:F500" si="137">E493*C493</f>
        <v>1825</v>
      </c>
      <c r="G493" s="186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>
        <f t="shared" ref="W493:W500" si="138">SUM(H493:V493)</f>
        <v>0</v>
      </c>
      <c r="X493" s="186">
        <f>F493+W493</f>
        <v>1825</v>
      </c>
      <c r="Y493" s="186">
        <f>X493*8</f>
        <v>14600</v>
      </c>
    </row>
    <row r="494" spans="1:25" ht="20.100000000000001" customHeight="1" x14ac:dyDescent="0.25">
      <c r="A494" s="267">
        <v>2</v>
      </c>
      <c r="B494" s="164" t="s">
        <v>172</v>
      </c>
      <c r="C494" s="163">
        <f>1.5+1-0.5</f>
        <v>2</v>
      </c>
      <c r="D494" s="163">
        <v>5</v>
      </c>
      <c r="E494" s="134">
        <v>1612</v>
      </c>
      <c r="F494" s="186">
        <f t="shared" si="137"/>
        <v>3224</v>
      </c>
      <c r="G494" s="186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>
        <f t="shared" si="138"/>
        <v>0</v>
      </c>
      <c r="X494" s="186">
        <f>F494+W494</f>
        <v>3224</v>
      </c>
      <c r="Y494" s="186">
        <f t="shared" ref="Y494:Y500" si="139">X494*8</f>
        <v>25792</v>
      </c>
    </row>
    <row r="495" spans="1:25" ht="20.100000000000001" customHeight="1" x14ac:dyDescent="0.25">
      <c r="A495" s="267">
        <v>3</v>
      </c>
      <c r="B495" s="164" t="s">
        <v>175</v>
      </c>
      <c r="C495" s="163">
        <f>13+5+2-5+3-2-2</f>
        <v>14</v>
      </c>
      <c r="D495" s="163">
        <v>2</v>
      </c>
      <c r="E495" s="134">
        <v>1521</v>
      </c>
      <c r="F495" s="186">
        <f t="shared" si="137"/>
        <v>21294</v>
      </c>
      <c r="G495" s="186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>
        <f t="shared" si="138"/>
        <v>0</v>
      </c>
      <c r="X495" s="186">
        <f>F495+W495</f>
        <v>21294</v>
      </c>
      <c r="Y495" s="186">
        <f t="shared" si="139"/>
        <v>170352</v>
      </c>
    </row>
    <row r="496" spans="1:25" ht="20.100000000000001" customHeight="1" x14ac:dyDescent="0.25">
      <c r="A496" s="267">
        <v>4</v>
      </c>
      <c r="B496" s="164" t="s">
        <v>182</v>
      </c>
      <c r="C496" s="163">
        <v>4</v>
      </c>
      <c r="D496" s="163">
        <v>1</v>
      </c>
      <c r="E496" s="134">
        <v>1516</v>
      </c>
      <c r="F496" s="186">
        <f t="shared" si="137"/>
        <v>6064</v>
      </c>
      <c r="G496" s="186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>
        <f t="shared" si="138"/>
        <v>0</v>
      </c>
      <c r="X496" s="186">
        <f>F496+W496</f>
        <v>6064</v>
      </c>
      <c r="Y496" s="186">
        <f t="shared" si="139"/>
        <v>48512</v>
      </c>
    </row>
    <row r="497" spans="1:29" ht="18" customHeight="1" x14ac:dyDescent="0.25">
      <c r="A497" s="267">
        <v>5</v>
      </c>
      <c r="B497" s="164" t="s">
        <v>177</v>
      </c>
      <c r="C497" s="166">
        <v>1</v>
      </c>
      <c r="D497" s="166">
        <v>1</v>
      </c>
      <c r="E497" s="137">
        <v>1516</v>
      </c>
      <c r="F497" s="138">
        <f t="shared" si="137"/>
        <v>1516</v>
      </c>
      <c r="G497" s="138"/>
      <c r="H497" s="139"/>
      <c r="I497" s="13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139">
        <f>SUM(H497:V497)</f>
        <v>0</v>
      </c>
      <c r="X497" s="138">
        <f>C497*E497+W497</f>
        <v>1516</v>
      </c>
      <c r="Y497" s="186">
        <f t="shared" si="139"/>
        <v>12128</v>
      </c>
    </row>
    <row r="498" spans="1:29" ht="18" customHeight="1" x14ac:dyDescent="0.25">
      <c r="A498" s="267">
        <v>6</v>
      </c>
      <c r="B498" s="164" t="s">
        <v>176</v>
      </c>
      <c r="C498" s="163">
        <f>7-5</f>
        <v>2</v>
      </c>
      <c r="D498" s="163">
        <v>1</v>
      </c>
      <c r="E498" s="134">
        <v>1516</v>
      </c>
      <c r="F498" s="186">
        <f>E498*C498</f>
        <v>3032</v>
      </c>
      <c r="G498" s="186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>
        <f>SUM(H498:V498)</f>
        <v>0</v>
      </c>
      <c r="X498" s="186">
        <f>F498+W498</f>
        <v>3032</v>
      </c>
      <c r="Y498" s="186">
        <f t="shared" si="139"/>
        <v>24256</v>
      </c>
    </row>
    <row r="499" spans="1:29" ht="20.100000000000001" customHeight="1" x14ac:dyDescent="0.25">
      <c r="A499" s="267">
        <v>7</v>
      </c>
      <c r="B499" s="164" t="s">
        <v>208</v>
      </c>
      <c r="C499" s="163">
        <v>1</v>
      </c>
      <c r="D499" s="163">
        <v>3</v>
      </c>
      <c r="E499" s="134">
        <v>1532</v>
      </c>
      <c r="F499" s="186">
        <f t="shared" si="137"/>
        <v>1532</v>
      </c>
      <c r="G499" s="186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>
        <f t="shared" si="138"/>
        <v>0</v>
      </c>
      <c r="X499" s="186">
        <f>F499+W499</f>
        <v>1532</v>
      </c>
      <c r="Y499" s="186">
        <f t="shared" si="139"/>
        <v>12256</v>
      </c>
    </row>
    <row r="500" spans="1:29" ht="20.100000000000001" customHeight="1" x14ac:dyDescent="0.25">
      <c r="A500" s="267">
        <v>8</v>
      </c>
      <c r="B500" s="164" t="s">
        <v>318</v>
      </c>
      <c r="C500" s="163">
        <v>1</v>
      </c>
      <c r="D500" s="163">
        <v>2</v>
      </c>
      <c r="E500" s="134">
        <v>1521</v>
      </c>
      <c r="F500" s="186">
        <f t="shared" si="137"/>
        <v>1521</v>
      </c>
      <c r="G500" s="186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>
        <f>ROUNDUP(F500*10%,0)</f>
        <v>153</v>
      </c>
      <c r="U500" s="163"/>
      <c r="V500" s="163"/>
      <c r="W500" s="163">
        <f t="shared" si="138"/>
        <v>153</v>
      </c>
      <c r="X500" s="186">
        <f>F500+W500</f>
        <v>1674</v>
      </c>
      <c r="Y500" s="186">
        <f t="shared" si="139"/>
        <v>13392</v>
      </c>
    </row>
    <row r="501" spans="1:29" s="3" customFormat="1" ht="20.100000000000001" customHeight="1" x14ac:dyDescent="0.25">
      <c r="A501" s="268"/>
      <c r="B501" s="185"/>
      <c r="C501" s="178">
        <f>SUM(C493:C500)</f>
        <v>26</v>
      </c>
      <c r="D501" s="178"/>
      <c r="E501" s="178"/>
      <c r="F501" s="171">
        <f t="shared" ref="F501:Y501" si="140">SUM(F493:F500)</f>
        <v>40008</v>
      </c>
      <c r="G501" s="171"/>
      <c r="H501" s="178">
        <f t="shared" si="140"/>
        <v>0</v>
      </c>
      <c r="I501" s="178">
        <f t="shared" si="140"/>
        <v>0</v>
      </c>
      <c r="J501" s="178">
        <f t="shared" si="140"/>
        <v>0</v>
      </c>
      <c r="K501" s="178">
        <f t="shared" si="140"/>
        <v>0</v>
      </c>
      <c r="L501" s="178">
        <f t="shared" si="140"/>
        <v>0</v>
      </c>
      <c r="M501" s="178">
        <f t="shared" si="140"/>
        <v>0</v>
      </c>
      <c r="N501" s="178">
        <f t="shared" si="140"/>
        <v>0</v>
      </c>
      <c r="O501" s="178">
        <f t="shared" si="140"/>
        <v>0</v>
      </c>
      <c r="P501" s="178">
        <f t="shared" si="140"/>
        <v>0</v>
      </c>
      <c r="Q501" s="178">
        <f t="shared" si="140"/>
        <v>0</v>
      </c>
      <c r="R501" s="178">
        <f t="shared" si="140"/>
        <v>0</v>
      </c>
      <c r="S501" s="178">
        <f t="shared" si="140"/>
        <v>0</v>
      </c>
      <c r="T501" s="178">
        <f t="shared" si="140"/>
        <v>153</v>
      </c>
      <c r="U501" s="178">
        <f t="shared" si="140"/>
        <v>0</v>
      </c>
      <c r="V501" s="178">
        <f t="shared" si="140"/>
        <v>0</v>
      </c>
      <c r="W501" s="178">
        <f t="shared" si="140"/>
        <v>153</v>
      </c>
      <c r="X501" s="171">
        <f t="shared" si="140"/>
        <v>40161</v>
      </c>
      <c r="Y501" s="171">
        <f t="shared" si="140"/>
        <v>321288</v>
      </c>
      <c r="Z501" s="178">
        <f>SUM(Z493:Z500)</f>
        <v>0</v>
      </c>
      <c r="AA501" s="178">
        <f>SUM(AA493:AA500)</f>
        <v>0</v>
      </c>
      <c r="AB501" s="178">
        <f>SUM(AB493:AB500)</f>
        <v>0</v>
      </c>
      <c r="AC501" s="178">
        <f>SUM(AC493:AC500)</f>
        <v>0</v>
      </c>
    </row>
    <row r="502" spans="1:29" ht="24" customHeight="1" x14ac:dyDescent="0.25">
      <c r="A502" s="174" t="s">
        <v>321</v>
      </c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6"/>
    </row>
    <row r="503" spans="1:29" ht="15.75" customHeight="1" x14ac:dyDescent="0.25">
      <c r="A503" s="163">
        <v>1</v>
      </c>
      <c r="B503" s="164" t="s">
        <v>118</v>
      </c>
      <c r="C503" s="163">
        <v>1</v>
      </c>
      <c r="D503" s="163">
        <v>12</v>
      </c>
      <c r="E503" s="163">
        <v>2512</v>
      </c>
      <c r="F503" s="186">
        <f t="shared" ref="F503:F512" si="141">E503*C503</f>
        <v>2512</v>
      </c>
      <c r="G503" s="186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>
        <f t="shared" ref="W503:W513" si="142">SUM(H503:V503)</f>
        <v>0</v>
      </c>
      <c r="X503" s="186">
        <f t="shared" ref="X503:X512" si="143">C503*E503+W503</f>
        <v>2512</v>
      </c>
      <c r="Y503" s="186">
        <f>X503*8</f>
        <v>20096</v>
      </c>
    </row>
    <row r="504" spans="1:29" ht="20.100000000000001" customHeight="1" x14ac:dyDescent="0.25">
      <c r="A504" s="163">
        <v>2</v>
      </c>
      <c r="B504" s="164" t="s">
        <v>322</v>
      </c>
      <c r="C504" s="163">
        <v>1</v>
      </c>
      <c r="D504" s="163"/>
      <c r="E504" s="163">
        <v>2386</v>
      </c>
      <c r="F504" s="186">
        <f t="shared" si="141"/>
        <v>2386</v>
      </c>
      <c r="G504" s="186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>
        <f t="shared" si="142"/>
        <v>0</v>
      </c>
      <c r="X504" s="186">
        <f t="shared" si="143"/>
        <v>2386</v>
      </c>
      <c r="Y504" s="186">
        <f t="shared" ref="Y504:Y512" si="144">X504*8</f>
        <v>19088</v>
      </c>
    </row>
    <row r="505" spans="1:29" ht="20.100000000000001" customHeight="1" x14ac:dyDescent="0.25">
      <c r="A505" s="163">
        <v>3</v>
      </c>
      <c r="B505" s="164" t="s">
        <v>323</v>
      </c>
      <c r="C505" s="163">
        <v>1</v>
      </c>
      <c r="D505" s="163">
        <v>10</v>
      </c>
      <c r="E505" s="163">
        <v>2157</v>
      </c>
      <c r="F505" s="186">
        <f t="shared" si="141"/>
        <v>2157</v>
      </c>
      <c r="G505" s="186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>
        <f t="shared" si="142"/>
        <v>0</v>
      </c>
      <c r="X505" s="186">
        <f t="shared" si="143"/>
        <v>2157</v>
      </c>
      <c r="Y505" s="186">
        <f t="shared" si="144"/>
        <v>17256</v>
      </c>
    </row>
    <row r="506" spans="1:29" ht="20.100000000000001" customHeight="1" x14ac:dyDescent="0.25">
      <c r="A506" s="163">
        <v>4</v>
      </c>
      <c r="B506" s="164" t="s">
        <v>99</v>
      </c>
      <c r="C506" s="163">
        <v>7</v>
      </c>
      <c r="D506" s="163">
        <v>9</v>
      </c>
      <c r="E506" s="163">
        <v>2050</v>
      </c>
      <c r="F506" s="186">
        <f t="shared" si="141"/>
        <v>14350</v>
      </c>
      <c r="G506" s="186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>
        <f t="shared" si="142"/>
        <v>0</v>
      </c>
      <c r="X506" s="186">
        <f t="shared" si="143"/>
        <v>14350</v>
      </c>
      <c r="Y506" s="186">
        <f>X506*8-E506*2</f>
        <v>110700</v>
      </c>
    </row>
    <row r="507" spans="1:29" ht="20.100000000000001" customHeight="1" x14ac:dyDescent="0.25">
      <c r="A507" s="163">
        <v>5</v>
      </c>
      <c r="B507" s="164" t="s">
        <v>100</v>
      </c>
      <c r="C507" s="163">
        <v>2</v>
      </c>
      <c r="D507" s="163">
        <v>8</v>
      </c>
      <c r="E507" s="163">
        <v>1943</v>
      </c>
      <c r="F507" s="186">
        <f t="shared" si="141"/>
        <v>3886</v>
      </c>
      <c r="G507" s="186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>
        <f t="shared" si="142"/>
        <v>0</v>
      </c>
      <c r="X507" s="186">
        <f t="shared" si="143"/>
        <v>3886</v>
      </c>
      <c r="Y507" s="186">
        <f t="shared" si="144"/>
        <v>31088</v>
      </c>
    </row>
    <row r="508" spans="1:29" ht="20.100000000000001" customHeight="1" x14ac:dyDescent="0.25">
      <c r="A508" s="163">
        <v>6</v>
      </c>
      <c r="B508" s="164" t="s">
        <v>119</v>
      </c>
      <c r="C508" s="163">
        <f>3-1</f>
        <v>2</v>
      </c>
      <c r="D508" s="163">
        <v>7</v>
      </c>
      <c r="E508" s="163">
        <v>1825</v>
      </c>
      <c r="F508" s="186">
        <f t="shared" si="141"/>
        <v>3650</v>
      </c>
      <c r="G508" s="186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>
        <f t="shared" si="142"/>
        <v>0</v>
      </c>
      <c r="X508" s="186">
        <f t="shared" si="143"/>
        <v>3650</v>
      </c>
      <c r="Y508" s="186">
        <f t="shared" si="144"/>
        <v>29200</v>
      </c>
    </row>
    <row r="509" spans="1:29" ht="20.100000000000001" customHeight="1" x14ac:dyDescent="0.25">
      <c r="A509" s="163">
        <v>7</v>
      </c>
      <c r="B509" s="164" t="s">
        <v>324</v>
      </c>
      <c r="C509" s="163">
        <v>1</v>
      </c>
      <c r="D509" s="163">
        <v>6</v>
      </c>
      <c r="E509" s="163">
        <v>1718</v>
      </c>
      <c r="F509" s="186">
        <f t="shared" si="141"/>
        <v>1718</v>
      </c>
      <c r="G509" s="186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>
        <f t="shared" si="142"/>
        <v>0</v>
      </c>
      <c r="X509" s="186">
        <f t="shared" si="143"/>
        <v>1718</v>
      </c>
      <c r="Y509" s="186">
        <f t="shared" si="144"/>
        <v>13744</v>
      </c>
    </row>
    <row r="510" spans="1:29" ht="25.5" customHeight="1" x14ac:dyDescent="0.25">
      <c r="A510" s="163">
        <v>8</v>
      </c>
      <c r="B510" s="203" t="s">
        <v>325</v>
      </c>
      <c r="C510" s="163">
        <v>1</v>
      </c>
      <c r="D510" s="195">
        <v>5</v>
      </c>
      <c r="E510" s="163">
        <v>1612</v>
      </c>
      <c r="F510" s="186">
        <f>E510*C510</f>
        <v>1612</v>
      </c>
      <c r="G510" s="186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>
        <f t="shared" si="142"/>
        <v>0</v>
      </c>
      <c r="X510" s="186">
        <f t="shared" si="143"/>
        <v>1612</v>
      </c>
      <c r="Y510" s="186">
        <f t="shared" si="144"/>
        <v>12896</v>
      </c>
    </row>
    <row r="511" spans="1:29" ht="27" customHeight="1" x14ac:dyDescent="0.25">
      <c r="A511" s="163">
        <v>9</v>
      </c>
      <c r="B511" s="203" t="s">
        <v>326</v>
      </c>
      <c r="C511" s="163">
        <v>1</v>
      </c>
      <c r="D511" s="195">
        <v>5</v>
      </c>
      <c r="E511" s="163">
        <v>1612</v>
      </c>
      <c r="F511" s="186">
        <f t="shared" si="141"/>
        <v>1612</v>
      </c>
      <c r="G511" s="186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>
        <f t="shared" si="142"/>
        <v>0</v>
      </c>
      <c r="X511" s="186">
        <f t="shared" si="143"/>
        <v>1612</v>
      </c>
      <c r="Y511" s="186">
        <f t="shared" si="144"/>
        <v>12896</v>
      </c>
    </row>
    <row r="512" spans="1:29" ht="25.5" customHeight="1" x14ac:dyDescent="0.25">
      <c r="A512" s="163">
        <v>10</v>
      </c>
      <c r="B512" s="203" t="s">
        <v>327</v>
      </c>
      <c r="C512" s="163">
        <v>0.5</v>
      </c>
      <c r="D512" s="195">
        <v>5</v>
      </c>
      <c r="E512" s="163">
        <v>1612</v>
      </c>
      <c r="F512" s="186">
        <f t="shared" si="141"/>
        <v>806</v>
      </c>
      <c r="G512" s="186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>
        <f t="shared" si="142"/>
        <v>0</v>
      </c>
      <c r="X512" s="186">
        <f t="shared" si="143"/>
        <v>806</v>
      </c>
      <c r="Y512" s="186">
        <f t="shared" si="144"/>
        <v>6448</v>
      </c>
    </row>
    <row r="513" spans="1:26" ht="17.100000000000001" customHeight="1" x14ac:dyDescent="0.25">
      <c r="A513" s="187"/>
      <c r="B513" s="164"/>
      <c r="C513" s="189">
        <f>SUM(C503:C512)</f>
        <v>17.5</v>
      </c>
      <c r="D513" s="189"/>
      <c r="E513" s="163"/>
      <c r="F513" s="171">
        <f>SUM(F503:F512)</f>
        <v>34689</v>
      </c>
      <c r="G513" s="171"/>
      <c r="H513" s="163">
        <f>SUM(H503:H512)</f>
        <v>0</v>
      </c>
      <c r="I513" s="163">
        <f>SUM(I503:I512)</f>
        <v>0</v>
      </c>
      <c r="J513" s="163">
        <f>SUM(J503:J512)</f>
        <v>0</v>
      </c>
      <c r="K513" s="163">
        <f t="shared" ref="K513:V513" si="145">SUM(K503:K512)</f>
        <v>0</v>
      </c>
      <c r="L513" s="163">
        <f t="shared" si="145"/>
        <v>0</v>
      </c>
      <c r="M513" s="163">
        <f t="shared" si="145"/>
        <v>0</v>
      </c>
      <c r="N513" s="163">
        <f t="shared" si="145"/>
        <v>0</v>
      </c>
      <c r="O513" s="163">
        <f t="shared" si="145"/>
        <v>0</v>
      </c>
      <c r="P513" s="163">
        <f t="shared" si="145"/>
        <v>0</v>
      </c>
      <c r="Q513" s="163">
        <f t="shared" si="145"/>
        <v>0</v>
      </c>
      <c r="R513" s="163">
        <f t="shared" si="145"/>
        <v>0</v>
      </c>
      <c r="S513" s="163">
        <f t="shared" si="145"/>
        <v>0</v>
      </c>
      <c r="T513" s="163">
        <f t="shared" si="145"/>
        <v>0</v>
      </c>
      <c r="U513" s="163">
        <f t="shared" si="145"/>
        <v>0</v>
      </c>
      <c r="V513" s="163">
        <f t="shared" si="145"/>
        <v>0</v>
      </c>
      <c r="W513" s="163">
        <f t="shared" si="142"/>
        <v>0</v>
      </c>
      <c r="X513" s="190">
        <f>SUM(X503:X512)</f>
        <v>34689</v>
      </c>
      <c r="Y513" s="190">
        <f>SUM(Y503:Y512)</f>
        <v>273412</v>
      </c>
    </row>
    <row r="514" spans="1:26" ht="19.5" customHeight="1" x14ac:dyDescent="0.25">
      <c r="A514" s="174" t="s">
        <v>328</v>
      </c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6"/>
    </row>
    <row r="515" spans="1:26" ht="25.5" customHeight="1" x14ac:dyDescent="0.25">
      <c r="A515" s="134">
        <v>1</v>
      </c>
      <c r="B515" s="164" t="s">
        <v>329</v>
      </c>
      <c r="C515" s="134">
        <v>4</v>
      </c>
      <c r="D515" s="163">
        <v>9</v>
      </c>
      <c r="E515" s="163">
        <v>2050</v>
      </c>
      <c r="F515" s="186">
        <f>E515*C515</f>
        <v>8200</v>
      </c>
      <c r="G515" s="186"/>
      <c r="H515" s="163"/>
      <c r="I515" s="163"/>
      <c r="J515" s="189"/>
      <c r="K515" s="189"/>
      <c r="L515" s="189"/>
      <c r="M515" s="189"/>
      <c r="N515" s="134"/>
      <c r="O515" s="189"/>
      <c r="P515" s="189"/>
      <c r="Q515" s="189"/>
      <c r="R515" s="189"/>
      <c r="S515" s="189"/>
      <c r="T515" s="189"/>
      <c r="U515" s="189"/>
      <c r="V515" s="189"/>
      <c r="W515" s="134">
        <f t="shared" ref="W515:W520" si="146">SUM(H515:V515)</f>
        <v>0</v>
      </c>
      <c r="X515" s="186">
        <f>C515*E515+W515</f>
        <v>8200</v>
      </c>
      <c r="Y515" s="183">
        <f>X515*8</f>
        <v>65600</v>
      </c>
    </row>
    <row r="516" spans="1:26" ht="25.5" customHeight="1" x14ac:dyDescent="0.25">
      <c r="A516" s="134">
        <v>2</v>
      </c>
      <c r="B516" s="164" t="s">
        <v>101</v>
      </c>
      <c r="C516" s="134">
        <v>1</v>
      </c>
      <c r="D516" s="163">
        <v>7</v>
      </c>
      <c r="E516" s="163">
        <v>1825</v>
      </c>
      <c r="F516" s="186">
        <f>E516*C516</f>
        <v>1825</v>
      </c>
      <c r="G516" s="186"/>
      <c r="H516" s="163"/>
      <c r="I516" s="163"/>
      <c r="J516" s="189"/>
      <c r="K516" s="189"/>
      <c r="L516" s="189"/>
      <c r="M516" s="189"/>
      <c r="N516" s="134"/>
      <c r="O516" s="189"/>
      <c r="P516" s="189"/>
      <c r="Q516" s="189"/>
      <c r="R516" s="189"/>
      <c r="S516" s="189"/>
      <c r="T516" s="189"/>
      <c r="U516" s="189"/>
      <c r="V516" s="189"/>
      <c r="W516" s="134">
        <f t="shared" si="146"/>
        <v>0</v>
      </c>
      <c r="X516" s="186">
        <f>C516*E516+W516</f>
        <v>1825</v>
      </c>
      <c r="Y516" s="183">
        <f>X516*8</f>
        <v>14600</v>
      </c>
    </row>
    <row r="517" spans="1:26" ht="25.5" customHeight="1" x14ac:dyDescent="0.25">
      <c r="A517" s="134">
        <v>3</v>
      </c>
      <c r="B517" s="164" t="s">
        <v>330</v>
      </c>
      <c r="C517" s="134">
        <v>1</v>
      </c>
      <c r="D517" s="163">
        <v>8</v>
      </c>
      <c r="E517" s="134">
        <v>1943</v>
      </c>
      <c r="F517" s="183">
        <f>E517*C517</f>
        <v>1943</v>
      </c>
      <c r="G517" s="186"/>
      <c r="H517" s="163"/>
      <c r="I517" s="163"/>
      <c r="J517" s="189"/>
      <c r="K517" s="189"/>
      <c r="L517" s="189"/>
      <c r="M517" s="189"/>
      <c r="N517" s="134"/>
      <c r="O517" s="189"/>
      <c r="P517" s="189"/>
      <c r="Q517" s="189"/>
      <c r="R517" s="189"/>
      <c r="S517" s="189"/>
      <c r="T517" s="189"/>
      <c r="U517" s="189"/>
      <c r="V517" s="189"/>
      <c r="W517" s="134">
        <f t="shared" si="146"/>
        <v>0</v>
      </c>
      <c r="X517" s="186">
        <f>C517*E517+W517</f>
        <v>1943</v>
      </c>
      <c r="Y517" s="183">
        <f>X517*8</f>
        <v>15544</v>
      </c>
    </row>
    <row r="518" spans="1:26" ht="25.5" customHeight="1" x14ac:dyDescent="0.25">
      <c r="A518" s="134">
        <v>4</v>
      </c>
      <c r="B518" s="164" t="s">
        <v>331</v>
      </c>
      <c r="C518" s="163">
        <v>1</v>
      </c>
      <c r="D518" s="163">
        <v>9</v>
      </c>
      <c r="E518" s="163">
        <v>2050</v>
      </c>
      <c r="F518" s="186">
        <f>E518*C518</f>
        <v>2050</v>
      </c>
      <c r="G518" s="186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34">
        <f t="shared" si="146"/>
        <v>0</v>
      </c>
      <c r="X518" s="186">
        <f>C518*E518+W518</f>
        <v>2050</v>
      </c>
      <c r="Y518" s="183">
        <f>X518*8</f>
        <v>16400</v>
      </c>
    </row>
    <row r="519" spans="1:26" ht="21" customHeight="1" x14ac:dyDescent="0.25">
      <c r="A519" s="134">
        <v>5</v>
      </c>
      <c r="B519" s="164" t="s">
        <v>332</v>
      </c>
      <c r="C519" s="163">
        <v>1</v>
      </c>
      <c r="D519" s="163">
        <v>5</v>
      </c>
      <c r="E519" s="163">
        <v>1612</v>
      </c>
      <c r="F519" s="186">
        <f>E519*C519</f>
        <v>1612</v>
      </c>
      <c r="G519" s="186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34">
        <f t="shared" si="146"/>
        <v>0</v>
      </c>
      <c r="X519" s="186">
        <f>C519*E519+W519</f>
        <v>1612</v>
      </c>
      <c r="Y519" s="183">
        <f>X519*8</f>
        <v>12896</v>
      </c>
    </row>
    <row r="520" spans="1:26" ht="18" customHeight="1" x14ac:dyDescent="0.25">
      <c r="A520" s="269"/>
      <c r="B520" s="164"/>
      <c r="C520" s="189">
        <f>SUM(C515:C519)</f>
        <v>8</v>
      </c>
      <c r="D520" s="189"/>
      <c r="E520" s="163"/>
      <c r="F520" s="171">
        <f>SUM(F515:F519)</f>
        <v>15630</v>
      </c>
      <c r="G520" s="171"/>
      <c r="H520" s="163">
        <f t="shared" ref="H520:V520" si="147">SUM(H515:H519)</f>
        <v>0</v>
      </c>
      <c r="I520" s="163">
        <f t="shared" si="147"/>
        <v>0</v>
      </c>
      <c r="J520" s="163">
        <f t="shared" si="147"/>
        <v>0</v>
      </c>
      <c r="K520" s="163">
        <f t="shared" si="147"/>
        <v>0</v>
      </c>
      <c r="L520" s="163">
        <f t="shared" si="147"/>
        <v>0</v>
      </c>
      <c r="M520" s="163">
        <f t="shared" si="147"/>
        <v>0</v>
      </c>
      <c r="N520" s="163">
        <f t="shared" si="147"/>
        <v>0</v>
      </c>
      <c r="O520" s="163">
        <f t="shared" si="147"/>
        <v>0</v>
      </c>
      <c r="P520" s="163">
        <f t="shared" si="147"/>
        <v>0</v>
      </c>
      <c r="Q520" s="163">
        <f t="shared" si="147"/>
        <v>0</v>
      </c>
      <c r="R520" s="163">
        <f t="shared" si="147"/>
        <v>0</v>
      </c>
      <c r="S520" s="163">
        <f t="shared" si="147"/>
        <v>0</v>
      </c>
      <c r="T520" s="163">
        <f t="shared" si="147"/>
        <v>0</v>
      </c>
      <c r="U520" s="163">
        <f t="shared" si="147"/>
        <v>0</v>
      </c>
      <c r="V520" s="163">
        <f t="shared" si="147"/>
        <v>0</v>
      </c>
      <c r="W520" s="134">
        <f t="shared" si="146"/>
        <v>0</v>
      </c>
      <c r="X520" s="171">
        <f>SUM(X515:X519)</f>
        <v>15630</v>
      </c>
      <c r="Y520" s="171">
        <f>SUM(Y515:Y519)</f>
        <v>125040</v>
      </c>
    </row>
    <row r="521" spans="1:26" ht="16.5" customHeight="1" x14ac:dyDescent="0.25">
      <c r="A521" s="230" t="s">
        <v>168</v>
      </c>
      <c r="B521" s="231"/>
      <c r="C521" s="231"/>
      <c r="D521" s="231"/>
      <c r="E521" s="231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2"/>
    </row>
    <row r="522" spans="1:26" s="56" customFormat="1" ht="23.25" customHeight="1" x14ac:dyDescent="0.25">
      <c r="A522" s="134">
        <v>1</v>
      </c>
      <c r="B522" s="135" t="s">
        <v>333</v>
      </c>
      <c r="C522" s="134">
        <v>1</v>
      </c>
      <c r="D522" s="134">
        <v>10</v>
      </c>
      <c r="E522" s="134">
        <v>2157</v>
      </c>
      <c r="F522" s="183">
        <f>E522*C522</f>
        <v>2157</v>
      </c>
      <c r="G522" s="183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>
        <f>SUM(H522:V522)</f>
        <v>0</v>
      </c>
      <c r="X522" s="183">
        <f>W522+F522</f>
        <v>2157</v>
      </c>
      <c r="Y522" s="183">
        <f>X522*8</f>
        <v>17256</v>
      </c>
    </row>
    <row r="523" spans="1:26" s="56" customFormat="1" ht="23.25" customHeight="1" x14ac:dyDescent="0.25">
      <c r="A523" s="134">
        <v>2</v>
      </c>
      <c r="B523" s="135" t="s">
        <v>140</v>
      </c>
      <c r="C523" s="134">
        <v>1</v>
      </c>
      <c r="D523" s="134">
        <v>5</v>
      </c>
      <c r="E523" s="163">
        <v>1612</v>
      </c>
      <c r="F523" s="186">
        <f>E523*C523</f>
        <v>1612</v>
      </c>
      <c r="G523" s="186"/>
      <c r="H523" s="163"/>
      <c r="I523" s="163"/>
      <c r="J523" s="189"/>
      <c r="K523" s="189"/>
      <c r="L523" s="189"/>
      <c r="M523" s="189"/>
      <c r="N523" s="134"/>
      <c r="O523" s="189"/>
      <c r="P523" s="189"/>
      <c r="Q523" s="189"/>
      <c r="R523" s="189"/>
      <c r="S523" s="189"/>
      <c r="T523" s="189"/>
      <c r="U523" s="189"/>
      <c r="V523" s="189"/>
      <c r="W523" s="134">
        <f>SUM(H523:V523)</f>
        <v>0</v>
      </c>
      <c r="X523" s="186">
        <f>C523*E523+W523</f>
        <v>1612</v>
      </c>
      <c r="Y523" s="183">
        <f>X523*8</f>
        <v>12896</v>
      </c>
    </row>
    <row r="524" spans="1:26" ht="23.25" customHeight="1" x14ac:dyDescent="0.25">
      <c r="A524" s="187"/>
      <c r="B524" s="164"/>
      <c r="C524" s="189">
        <f>SUM(C522:C523)</f>
        <v>2</v>
      </c>
      <c r="D524" s="189"/>
      <c r="E524" s="163"/>
      <c r="F524" s="171">
        <f>SUM(F522:F523)</f>
        <v>3769</v>
      </c>
      <c r="G524" s="171"/>
      <c r="H524" s="171">
        <f t="shared" ref="H524:Y524" si="148">SUM(H522:H523)</f>
        <v>0</v>
      </c>
      <c r="I524" s="171">
        <f t="shared" si="148"/>
        <v>0</v>
      </c>
      <c r="J524" s="171">
        <f t="shared" si="148"/>
        <v>0</v>
      </c>
      <c r="K524" s="171">
        <f t="shared" si="148"/>
        <v>0</v>
      </c>
      <c r="L524" s="171">
        <f t="shared" si="148"/>
        <v>0</v>
      </c>
      <c r="M524" s="171">
        <f t="shared" si="148"/>
        <v>0</v>
      </c>
      <c r="N524" s="171">
        <f t="shared" si="148"/>
        <v>0</v>
      </c>
      <c r="O524" s="171">
        <f t="shared" si="148"/>
        <v>0</v>
      </c>
      <c r="P524" s="171">
        <f t="shared" si="148"/>
        <v>0</v>
      </c>
      <c r="Q524" s="171">
        <f t="shared" si="148"/>
        <v>0</v>
      </c>
      <c r="R524" s="171">
        <f t="shared" si="148"/>
        <v>0</v>
      </c>
      <c r="S524" s="171">
        <f t="shared" si="148"/>
        <v>0</v>
      </c>
      <c r="T524" s="171">
        <f t="shared" si="148"/>
        <v>0</v>
      </c>
      <c r="U524" s="171">
        <f t="shared" si="148"/>
        <v>0</v>
      </c>
      <c r="V524" s="171">
        <f t="shared" si="148"/>
        <v>0</v>
      </c>
      <c r="W524" s="171">
        <f t="shared" si="148"/>
        <v>0</v>
      </c>
      <c r="X524" s="171">
        <f t="shared" si="148"/>
        <v>3769</v>
      </c>
      <c r="Y524" s="171">
        <f t="shared" si="148"/>
        <v>30152</v>
      </c>
      <c r="Z524" s="171">
        <f>SUM(Z522)</f>
        <v>0</v>
      </c>
    </row>
    <row r="525" spans="1:26" ht="16.5" customHeight="1" x14ac:dyDescent="0.25">
      <c r="A525" s="174" t="s">
        <v>133</v>
      </c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6"/>
    </row>
    <row r="526" spans="1:26" ht="24" customHeight="1" x14ac:dyDescent="0.25">
      <c r="A526" s="134">
        <v>1</v>
      </c>
      <c r="B526" s="135" t="s">
        <v>316</v>
      </c>
      <c r="C526" s="163">
        <f>26.5+6-6.5-10+7-6+4</f>
        <v>21</v>
      </c>
      <c r="D526" s="163">
        <v>2</v>
      </c>
      <c r="E526" s="134">
        <v>1521</v>
      </c>
      <c r="F526" s="183">
        <f>E526*C526</f>
        <v>31941</v>
      </c>
      <c r="G526" s="183"/>
      <c r="H526" s="134"/>
      <c r="I526" s="134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34">
        <f>SUM(H526:V526)</f>
        <v>0</v>
      </c>
      <c r="X526" s="186">
        <f>F526+W526</f>
        <v>31941</v>
      </c>
      <c r="Y526" s="183">
        <f>X526*8</f>
        <v>255528</v>
      </c>
    </row>
    <row r="527" spans="1:26" ht="24" customHeight="1" x14ac:dyDescent="0.25">
      <c r="A527" s="134"/>
      <c r="B527" s="135"/>
      <c r="C527" s="189">
        <f>SUM(C526:C526)</f>
        <v>21</v>
      </c>
      <c r="D527" s="189"/>
      <c r="E527" s="163"/>
      <c r="F527" s="171">
        <f t="shared" ref="F527:R527" si="149">SUM(F526:F526)</f>
        <v>31941</v>
      </c>
      <c r="G527" s="171"/>
      <c r="H527" s="163">
        <f t="shared" si="149"/>
        <v>0</v>
      </c>
      <c r="I527" s="163">
        <f t="shared" si="149"/>
        <v>0</v>
      </c>
      <c r="J527" s="163">
        <f t="shared" si="149"/>
        <v>0</v>
      </c>
      <c r="K527" s="163">
        <f t="shared" si="149"/>
        <v>0</v>
      </c>
      <c r="L527" s="163">
        <f t="shared" si="149"/>
        <v>0</v>
      </c>
      <c r="M527" s="163">
        <f t="shared" si="149"/>
        <v>0</v>
      </c>
      <c r="N527" s="163">
        <f t="shared" si="149"/>
        <v>0</v>
      </c>
      <c r="O527" s="163">
        <f t="shared" si="149"/>
        <v>0</v>
      </c>
      <c r="P527" s="163">
        <f t="shared" si="149"/>
        <v>0</v>
      </c>
      <c r="Q527" s="163">
        <f t="shared" si="149"/>
        <v>0</v>
      </c>
      <c r="R527" s="163">
        <f t="shared" si="149"/>
        <v>0</v>
      </c>
      <c r="S527" s="163">
        <f t="shared" ref="S527:Y527" si="150">SUM(S526:S526)</f>
        <v>0</v>
      </c>
      <c r="T527" s="163">
        <f t="shared" si="150"/>
        <v>0</v>
      </c>
      <c r="U527" s="163">
        <f t="shared" si="150"/>
        <v>0</v>
      </c>
      <c r="V527" s="163">
        <f t="shared" si="150"/>
        <v>0</v>
      </c>
      <c r="W527" s="163">
        <f t="shared" si="150"/>
        <v>0</v>
      </c>
      <c r="X527" s="171">
        <f t="shared" si="150"/>
        <v>31941</v>
      </c>
      <c r="Y527" s="171">
        <f t="shared" si="150"/>
        <v>255528</v>
      </c>
    </row>
    <row r="528" spans="1:26" ht="20.25" customHeight="1" x14ac:dyDescent="0.25">
      <c r="A528" s="230" t="s">
        <v>334</v>
      </c>
      <c r="B528" s="231"/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2"/>
    </row>
    <row r="529" spans="1:25" ht="24" customHeight="1" x14ac:dyDescent="0.25">
      <c r="A529" s="134">
        <v>1</v>
      </c>
      <c r="B529" s="135" t="s">
        <v>335</v>
      </c>
      <c r="C529" s="134">
        <v>1</v>
      </c>
      <c r="D529" s="163">
        <v>5</v>
      </c>
      <c r="E529" s="163">
        <v>1612</v>
      </c>
      <c r="F529" s="186">
        <f t="shared" ref="F529:F534" si="151">E529*C529</f>
        <v>1612</v>
      </c>
      <c r="G529" s="186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>
        <f t="shared" ref="W529:W534" si="152">SUM(H529:V529)</f>
        <v>0</v>
      </c>
      <c r="X529" s="183">
        <f t="shared" ref="X529:X534" si="153">C529*E529+W529</f>
        <v>1612</v>
      </c>
      <c r="Y529" s="186">
        <f t="shared" ref="Y529:Y534" si="154">X529*8</f>
        <v>12896</v>
      </c>
    </row>
    <row r="530" spans="1:25" ht="24" customHeight="1" x14ac:dyDescent="0.25">
      <c r="A530" s="134">
        <v>2</v>
      </c>
      <c r="B530" s="135" t="s">
        <v>336</v>
      </c>
      <c r="C530" s="134">
        <v>1</v>
      </c>
      <c r="D530" s="163">
        <v>4</v>
      </c>
      <c r="E530" s="163">
        <v>1543</v>
      </c>
      <c r="F530" s="186">
        <f t="shared" si="151"/>
        <v>1543</v>
      </c>
      <c r="G530" s="186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>
        <f t="shared" si="152"/>
        <v>0</v>
      </c>
      <c r="X530" s="183">
        <f t="shared" si="153"/>
        <v>1543</v>
      </c>
      <c r="Y530" s="186">
        <f t="shared" si="154"/>
        <v>12344</v>
      </c>
    </row>
    <row r="531" spans="1:25" ht="18.75" customHeight="1" x14ac:dyDescent="0.25">
      <c r="A531" s="134">
        <v>3</v>
      </c>
      <c r="B531" s="135" t="s">
        <v>318</v>
      </c>
      <c r="C531" s="134">
        <v>1</v>
      </c>
      <c r="D531" s="163">
        <v>2</v>
      </c>
      <c r="E531" s="163">
        <v>1521</v>
      </c>
      <c r="F531" s="186">
        <f t="shared" si="151"/>
        <v>1521</v>
      </c>
      <c r="G531" s="186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>
        <f>ROUNDUP(F531*10%,0)</f>
        <v>153</v>
      </c>
      <c r="U531" s="163"/>
      <c r="V531" s="163"/>
      <c r="W531" s="163">
        <f t="shared" si="152"/>
        <v>153</v>
      </c>
      <c r="X531" s="183">
        <f t="shared" si="153"/>
        <v>1674</v>
      </c>
      <c r="Y531" s="186">
        <f t="shared" si="154"/>
        <v>13392</v>
      </c>
    </row>
    <row r="532" spans="1:25" ht="21" customHeight="1" x14ac:dyDescent="0.25">
      <c r="A532" s="134">
        <v>4</v>
      </c>
      <c r="B532" s="135" t="s">
        <v>178</v>
      </c>
      <c r="C532" s="134">
        <v>1</v>
      </c>
      <c r="D532" s="163">
        <v>5</v>
      </c>
      <c r="E532" s="163">
        <v>1612</v>
      </c>
      <c r="F532" s="186">
        <f>E532*C532</f>
        <v>1612</v>
      </c>
      <c r="G532" s="186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>
        <f>SUM(H532:V532)</f>
        <v>0</v>
      </c>
      <c r="X532" s="183">
        <f t="shared" si="153"/>
        <v>1612</v>
      </c>
      <c r="Y532" s="186">
        <f t="shared" si="154"/>
        <v>12896</v>
      </c>
    </row>
    <row r="533" spans="1:25" ht="24" customHeight="1" x14ac:dyDescent="0.25">
      <c r="A533" s="134">
        <v>5</v>
      </c>
      <c r="B533" s="135" t="s">
        <v>179</v>
      </c>
      <c r="C533" s="134">
        <v>1</v>
      </c>
      <c r="D533" s="163">
        <v>4</v>
      </c>
      <c r="E533" s="163">
        <v>1543</v>
      </c>
      <c r="F533" s="186">
        <f>E533*C533</f>
        <v>1543</v>
      </c>
      <c r="G533" s="186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>
        <f>SUM(H533:V533)</f>
        <v>0</v>
      </c>
      <c r="X533" s="183">
        <f t="shared" si="153"/>
        <v>1543</v>
      </c>
      <c r="Y533" s="186">
        <f t="shared" si="154"/>
        <v>12344</v>
      </c>
    </row>
    <row r="534" spans="1:25" ht="36.75" customHeight="1" x14ac:dyDescent="0.25">
      <c r="A534" s="134">
        <v>6</v>
      </c>
      <c r="B534" s="140" t="s">
        <v>337</v>
      </c>
      <c r="C534" s="134">
        <v>1</v>
      </c>
      <c r="D534" s="163">
        <v>3</v>
      </c>
      <c r="E534" s="163">
        <v>1532</v>
      </c>
      <c r="F534" s="186">
        <f t="shared" si="151"/>
        <v>1532</v>
      </c>
      <c r="G534" s="186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>
        <f t="shared" si="152"/>
        <v>0</v>
      </c>
      <c r="X534" s="183">
        <f t="shared" si="153"/>
        <v>1532</v>
      </c>
      <c r="Y534" s="186">
        <f t="shared" si="154"/>
        <v>12256</v>
      </c>
    </row>
    <row r="535" spans="1:25" ht="24" customHeight="1" x14ac:dyDescent="0.25">
      <c r="A535" s="134"/>
      <c r="B535" s="135"/>
      <c r="C535" s="189">
        <f>SUM(C529:C534)</f>
        <v>6</v>
      </c>
      <c r="D535" s="189"/>
      <c r="E535" s="163"/>
      <c r="F535" s="171">
        <f>SUM(F529:F534)</f>
        <v>9363</v>
      </c>
      <c r="G535" s="171"/>
      <c r="H535" s="172">
        <f t="shared" ref="H535:Y535" si="155">SUM(H529:H534)</f>
        <v>0</v>
      </c>
      <c r="I535" s="172">
        <f t="shared" si="155"/>
        <v>0</v>
      </c>
      <c r="J535" s="172">
        <f t="shared" si="155"/>
        <v>0</v>
      </c>
      <c r="K535" s="172">
        <f t="shared" si="155"/>
        <v>0</v>
      </c>
      <c r="L535" s="172">
        <f t="shared" si="155"/>
        <v>0</v>
      </c>
      <c r="M535" s="172">
        <f t="shared" si="155"/>
        <v>0</v>
      </c>
      <c r="N535" s="172">
        <f t="shared" si="155"/>
        <v>0</v>
      </c>
      <c r="O535" s="172">
        <f t="shared" si="155"/>
        <v>0</v>
      </c>
      <c r="P535" s="172">
        <f t="shared" si="155"/>
        <v>0</v>
      </c>
      <c r="Q535" s="172">
        <f t="shared" si="155"/>
        <v>0</v>
      </c>
      <c r="R535" s="172">
        <f t="shared" si="155"/>
        <v>0</v>
      </c>
      <c r="S535" s="172">
        <f t="shared" si="155"/>
        <v>0</v>
      </c>
      <c r="T535" s="172">
        <f t="shared" si="155"/>
        <v>153</v>
      </c>
      <c r="U535" s="172">
        <f t="shared" si="155"/>
        <v>0</v>
      </c>
      <c r="V535" s="172">
        <f t="shared" si="155"/>
        <v>0</v>
      </c>
      <c r="W535" s="172">
        <f t="shared" si="155"/>
        <v>153</v>
      </c>
      <c r="X535" s="171">
        <f t="shared" si="155"/>
        <v>9516</v>
      </c>
      <c r="Y535" s="171">
        <f t="shared" si="155"/>
        <v>76128</v>
      </c>
    </row>
    <row r="536" spans="1:25" ht="17.25" customHeight="1" x14ac:dyDescent="0.25">
      <c r="A536" s="174" t="s">
        <v>338</v>
      </c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6"/>
    </row>
    <row r="537" spans="1:25" ht="20.100000000000001" customHeight="1" x14ac:dyDescent="0.25">
      <c r="A537" s="164">
        <v>1</v>
      </c>
      <c r="B537" s="164" t="s">
        <v>229</v>
      </c>
      <c r="C537" s="166">
        <v>1</v>
      </c>
      <c r="D537" s="166">
        <v>11</v>
      </c>
      <c r="E537" s="137">
        <v>2334</v>
      </c>
      <c r="F537" s="138">
        <f>E537*C537</f>
        <v>2334</v>
      </c>
      <c r="G537" s="138"/>
      <c r="H537" s="139"/>
      <c r="I537" s="13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139">
        <f>SUM(H537:V537)</f>
        <v>0</v>
      </c>
      <c r="X537" s="138">
        <f>C537*E537+W537</f>
        <v>2334</v>
      </c>
      <c r="Y537" s="186">
        <f>X537*8</f>
        <v>18672</v>
      </c>
    </row>
    <row r="538" spans="1:25" ht="16.5" customHeight="1" x14ac:dyDescent="0.25">
      <c r="A538" s="164">
        <v>2</v>
      </c>
      <c r="B538" s="164" t="s">
        <v>339</v>
      </c>
      <c r="C538" s="166">
        <v>2</v>
      </c>
      <c r="D538" s="166"/>
      <c r="E538" s="137">
        <v>1984</v>
      </c>
      <c r="F538" s="138">
        <f>E538*C538</f>
        <v>3968</v>
      </c>
      <c r="G538" s="138"/>
      <c r="H538" s="139"/>
      <c r="I538" s="13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139">
        <f>SUM(H538:V538)</f>
        <v>0</v>
      </c>
      <c r="X538" s="138">
        <f>C538*E538+W538</f>
        <v>3968</v>
      </c>
      <c r="Y538" s="186">
        <f t="shared" ref="Y538:Y572" si="156">X538*8</f>
        <v>31744</v>
      </c>
    </row>
    <row r="539" spans="1:25" s="56" customFormat="1" ht="16.5" customHeight="1" x14ac:dyDescent="0.25">
      <c r="A539" s="164">
        <v>3</v>
      </c>
      <c r="B539" s="135" t="s">
        <v>172</v>
      </c>
      <c r="C539" s="163">
        <f>11+9+1</f>
        <v>21</v>
      </c>
      <c r="D539" s="163">
        <v>5</v>
      </c>
      <c r="E539" s="134">
        <v>1612</v>
      </c>
      <c r="F539" s="183">
        <f t="shared" ref="F539:F572" si="157">E539*C539</f>
        <v>33852</v>
      </c>
      <c r="G539" s="183"/>
      <c r="H539" s="139"/>
      <c r="I539" s="13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139">
        <f>SUM(H539:V539)</f>
        <v>0</v>
      </c>
      <c r="X539" s="138">
        <f>F539+W539</f>
        <v>33852</v>
      </c>
      <c r="Y539" s="186">
        <f t="shared" si="156"/>
        <v>270816</v>
      </c>
    </row>
    <row r="540" spans="1:25" ht="15.75" customHeight="1" x14ac:dyDescent="0.25">
      <c r="A540" s="164">
        <v>4</v>
      </c>
      <c r="B540" s="164" t="s">
        <v>340</v>
      </c>
      <c r="C540" s="163">
        <v>1</v>
      </c>
      <c r="D540" s="163">
        <v>7</v>
      </c>
      <c r="E540" s="134">
        <v>1825</v>
      </c>
      <c r="F540" s="186">
        <f t="shared" si="157"/>
        <v>1825</v>
      </c>
      <c r="G540" s="186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39">
        <f>SUM(H540:V540)</f>
        <v>0</v>
      </c>
      <c r="X540" s="138">
        <f>F540+W540</f>
        <v>1825</v>
      </c>
      <c r="Y540" s="186">
        <f t="shared" si="156"/>
        <v>14600</v>
      </c>
    </row>
    <row r="541" spans="1:25" ht="25.5" customHeight="1" x14ac:dyDescent="0.25">
      <c r="A541" s="164">
        <v>5</v>
      </c>
      <c r="B541" s="270" t="s">
        <v>341</v>
      </c>
      <c r="C541" s="206">
        <v>1</v>
      </c>
      <c r="D541" s="271">
        <v>5</v>
      </c>
      <c r="E541" s="134">
        <v>1612</v>
      </c>
      <c r="F541" s="186">
        <f t="shared" si="157"/>
        <v>1612</v>
      </c>
      <c r="G541" s="272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139">
        <f>SUM(H541:V541)</f>
        <v>0</v>
      </c>
      <c r="X541" s="138">
        <f>F541+W541</f>
        <v>1612</v>
      </c>
      <c r="Y541" s="186">
        <f t="shared" si="156"/>
        <v>12896</v>
      </c>
    </row>
    <row r="542" spans="1:25" ht="16.5" customHeight="1" x14ac:dyDescent="0.25">
      <c r="A542" s="164">
        <v>6</v>
      </c>
      <c r="B542" s="270" t="s">
        <v>342</v>
      </c>
      <c r="C542" s="206">
        <f>4+9</f>
        <v>13</v>
      </c>
      <c r="D542" s="271">
        <v>7</v>
      </c>
      <c r="E542" s="134">
        <v>1825</v>
      </c>
      <c r="F542" s="186">
        <f t="shared" si="157"/>
        <v>23725</v>
      </c>
      <c r="G542" s="272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139">
        <f t="shared" ref="W542:W572" si="158">SUM(H542:V542)</f>
        <v>0</v>
      </c>
      <c r="X542" s="138">
        <f t="shared" ref="X542:X572" si="159">F542+W542</f>
        <v>23725</v>
      </c>
      <c r="Y542" s="186">
        <f t="shared" si="156"/>
        <v>189800</v>
      </c>
    </row>
    <row r="543" spans="1:25" ht="16.5" customHeight="1" x14ac:dyDescent="0.25">
      <c r="A543" s="164">
        <v>7</v>
      </c>
      <c r="B543" s="270" t="s">
        <v>343</v>
      </c>
      <c r="C543" s="206">
        <f>10+5</f>
        <v>15</v>
      </c>
      <c r="D543" s="271">
        <v>5</v>
      </c>
      <c r="E543" s="134">
        <v>1612</v>
      </c>
      <c r="F543" s="186">
        <f t="shared" si="157"/>
        <v>24180</v>
      </c>
      <c r="G543" s="272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139">
        <f t="shared" si="158"/>
        <v>0</v>
      </c>
      <c r="X543" s="138">
        <f t="shared" si="159"/>
        <v>24180</v>
      </c>
      <c r="Y543" s="186">
        <f t="shared" si="156"/>
        <v>193440</v>
      </c>
    </row>
    <row r="544" spans="1:25" ht="16.5" customHeight="1" x14ac:dyDescent="0.25">
      <c r="A544" s="164">
        <v>8</v>
      </c>
      <c r="B544" s="164" t="s">
        <v>156</v>
      </c>
      <c r="C544" s="163">
        <v>3</v>
      </c>
      <c r="D544" s="163">
        <v>8</v>
      </c>
      <c r="E544" s="134">
        <v>1943</v>
      </c>
      <c r="F544" s="183">
        <f>E544*C544</f>
        <v>5829</v>
      </c>
      <c r="G544" s="183"/>
      <c r="H544" s="139"/>
      <c r="I544" s="13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139">
        <f t="shared" si="158"/>
        <v>0</v>
      </c>
      <c r="X544" s="138">
        <f t="shared" si="159"/>
        <v>5829</v>
      </c>
      <c r="Y544" s="186">
        <f t="shared" si="156"/>
        <v>46632</v>
      </c>
    </row>
    <row r="545" spans="1:25" ht="16.5" customHeight="1" x14ac:dyDescent="0.25">
      <c r="A545" s="164">
        <v>9</v>
      </c>
      <c r="B545" s="164" t="s">
        <v>99</v>
      </c>
      <c r="C545" s="163">
        <v>1</v>
      </c>
      <c r="D545" s="163">
        <v>9</v>
      </c>
      <c r="E545" s="163">
        <v>2050</v>
      </c>
      <c r="F545" s="186">
        <f>E545*C545</f>
        <v>2050</v>
      </c>
      <c r="G545" s="183"/>
      <c r="H545" s="139"/>
      <c r="I545" s="13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139">
        <f t="shared" si="158"/>
        <v>0</v>
      </c>
      <c r="X545" s="138">
        <f t="shared" si="159"/>
        <v>2050</v>
      </c>
      <c r="Y545" s="186">
        <f t="shared" si="156"/>
        <v>16400</v>
      </c>
    </row>
    <row r="546" spans="1:25" ht="16.5" customHeight="1" x14ac:dyDescent="0.25">
      <c r="A546" s="164">
        <v>10</v>
      </c>
      <c r="B546" s="164" t="s">
        <v>100</v>
      </c>
      <c r="C546" s="163">
        <v>1</v>
      </c>
      <c r="D546" s="163">
        <v>8</v>
      </c>
      <c r="E546" s="134">
        <v>1943</v>
      </c>
      <c r="F546" s="183">
        <f>E546*C546</f>
        <v>1943</v>
      </c>
      <c r="G546" s="183"/>
      <c r="H546" s="139"/>
      <c r="I546" s="13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139">
        <f t="shared" si="158"/>
        <v>0</v>
      </c>
      <c r="X546" s="138">
        <f t="shared" si="159"/>
        <v>1943</v>
      </c>
      <c r="Y546" s="186">
        <f t="shared" si="156"/>
        <v>15544</v>
      </c>
    </row>
    <row r="547" spans="1:25" ht="16.5" customHeight="1" x14ac:dyDescent="0.25">
      <c r="A547" s="164">
        <v>11</v>
      </c>
      <c r="B547" s="164" t="s">
        <v>344</v>
      </c>
      <c r="C547" s="163">
        <v>1</v>
      </c>
      <c r="D547" s="163">
        <v>7</v>
      </c>
      <c r="E547" s="134">
        <v>1825</v>
      </c>
      <c r="F547" s="183">
        <f>E547*C547</f>
        <v>1825</v>
      </c>
      <c r="G547" s="183"/>
      <c r="H547" s="139"/>
      <c r="I547" s="13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139">
        <f t="shared" si="158"/>
        <v>0</v>
      </c>
      <c r="X547" s="138">
        <f t="shared" si="159"/>
        <v>1825</v>
      </c>
      <c r="Y547" s="186">
        <f t="shared" si="156"/>
        <v>14600</v>
      </c>
    </row>
    <row r="548" spans="1:25" ht="16.5" customHeight="1" x14ac:dyDescent="0.25">
      <c r="A548" s="164">
        <v>12</v>
      </c>
      <c r="B548" s="270" t="s">
        <v>157</v>
      </c>
      <c r="C548" s="206">
        <v>1</v>
      </c>
      <c r="D548" s="271">
        <v>7</v>
      </c>
      <c r="E548" s="134">
        <v>1825</v>
      </c>
      <c r="F548" s="186">
        <f t="shared" si="157"/>
        <v>1825</v>
      </c>
      <c r="G548" s="272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139">
        <f t="shared" si="158"/>
        <v>0</v>
      </c>
      <c r="X548" s="138">
        <f t="shared" si="159"/>
        <v>1825</v>
      </c>
      <c r="Y548" s="186">
        <f t="shared" si="156"/>
        <v>14600</v>
      </c>
    </row>
    <row r="549" spans="1:25" ht="16.5" customHeight="1" x14ac:dyDescent="0.25">
      <c r="A549" s="164">
        <v>13</v>
      </c>
      <c r="B549" s="164" t="s">
        <v>126</v>
      </c>
      <c r="C549" s="163">
        <v>1</v>
      </c>
      <c r="D549" s="163">
        <v>5</v>
      </c>
      <c r="E549" s="134">
        <v>1612</v>
      </c>
      <c r="F549" s="183">
        <f>E549*C549</f>
        <v>1612</v>
      </c>
      <c r="G549" s="183"/>
      <c r="H549" s="139"/>
      <c r="I549" s="13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139">
        <f t="shared" si="158"/>
        <v>0</v>
      </c>
      <c r="X549" s="138">
        <f t="shared" si="159"/>
        <v>1612</v>
      </c>
      <c r="Y549" s="186">
        <f t="shared" si="156"/>
        <v>12896</v>
      </c>
    </row>
    <row r="550" spans="1:25" ht="16.5" customHeight="1" x14ac:dyDescent="0.25">
      <c r="A550" s="164">
        <v>14</v>
      </c>
      <c r="B550" s="164" t="s">
        <v>102</v>
      </c>
      <c r="C550" s="163">
        <f>3+2</f>
        <v>5</v>
      </c>
      <c r="D550" s="163">
        <v>7</v>
      </c>
      <c r="E550" s="163">
        <v>1825</v>
      </c>
      <c r="F550" s="186">
        <f>E550*C550</f>
        <v>9125</v>
      </c>
      <c r="G550" s="186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39">
        <f t="shared" si="158"/>
        <v>0</v>
      </c>
      <c r="X550" s="138">
        <f t="shared" si="159"/>
        <v>9125</v>
      </c>
      <c r="Y550" s="186">
        <f t="shared" si="156"/>
        <v>73000</v>
      </c>
    </row>
    <row r="551" spans="1:25" ht="16.5" customHeight="1" x14ac:dyDescent="0.25">
      <c r="A551" s="164">
        <v>15</v>
      </c>
      <c r="B551" s="164" t="s">
        <v>103</v>
      </c>
      <c r="C551" s="206">
        <v>1</v>
      </c>
      <c r="D551" s="206">
        <v>6</v>
      </c>
      <c r="E551" s="163">
        <v>1718</v>
      </c>
      <c r="F551" s="186">
        <f>E551*C551</f>
        <v>1718</v>
      </c>
      <c r="G551" s="272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139">
        <f t="shared" si="158"/>
        <v>0</v>
      </c>
      <c r="X551" s="138">
        <f t="shared" si="159"/>
        <v>1718</v>
      </c>
      <c r="Y551" s="186">
        <f t="shared" si="156"/>
        <v>13744</v>
      </c>
    </row>
    <row r="552" spans="1:25" ht="39.75" customHeight="1" x14ac:dyDescent="0.25">
      <c r="A552" s="164">
        <v>16</v>
      </c>
      <c r="B552" s="270" t="s">
        <v>345</v>
      </c>
      <c r="C552" s="206">
        <f>3+2+1</f>
        <v>6</v>
      </c>
      <c r="D552" s="271">
        <v>5</v>
      </c>
      <c r="E552" s="134">
        <v>1612</v>
      </c>
      <c r="F552" s="186">
        <f t="shared" si="157"/>
        <v>9672</v>
      </c>
      <c r="G552" s="272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139">
        <f t="shared" si="158"/>
        <v>0</v>
      </c>
      <c r="X552" s="138">
        <f t="shared" si="159"/>
        <v>9672</v>
      </c>
      <c r="Y552" s="186">
        <f t="shared" si="156"/>
        <v>77376</v>
      </c>
    </row>
    <row r="553" spans="1:25" ht="24" customHeight="1" x14ac:dyDescent="0.25">
      <c r="A553" s="164">
        <v>17</v>
      </c>
      <c r="B553" s="194" t="s">
        <v>346</v>
      </c>
      <c r="C553" s="206">
        <f>11+21-1</f>
        <v>31</v>
      </c>
      <c r="D553" s="271">
        <v>6</v>
      </c>
      <c r="E553" s="134">
        <v>1718</v>
      </c>
      <c r="F553" s="186">
        <f t="shared" si="157"/>
        <v>53258</v>
      </c>
      <c r="G553" s="272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139">
        <f t="shared" si="158"/>
        <v>0</v>
      </c>
      <c r="X553" s="138">
        <f t="shared" si="159"/>
        <v>53258</v>
      </c>
      <c r="Y553" s="186">
        <f t="shared" si="156"/>
        <v>426064</v>
      </c>
    </row>
    <row r="554" spans="1:25" ht="17.25" customHeight="1" x14ac:dyDescent="0.25">
      <c r="A554" s="164">
        <v>18</v>
      </c>
      <c r="B554" s="194" t="s">
        <v>347</v>
      </c>
      <c r="C554" s="206">
        <f>72-1</f>
        <v>71</v>
      </c>
      <c r="D554" s="271">
        <v>3</v>
      </c>
      <c r="E554" s="134">
        <v>1532</v>
      </c>
      <c r="F554" s="186">
        <f t="shared" si="157"/>
        <v>108772</v>
      </c>
      <c r="G554" s="272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139">
        <f t="shared" si="158"/>
        <v>0</v>
      </c>
      <c r="X554" s="138">
        <f t="shared" si="159"/>
        <v>108772</v>
      </c>
      <c r="Y554" s="186">
        <f t="shared" si="156"/>
        <v>870176</v>
      </c>
    </row>
    <row r="555" spans="1:25" ht="17.25" customHeight="1" x14ac:dyDescent="0.25">
      <c r="A555" s="164">
        <v>19</v>
      </c>
      <c r="B555" s="164" t="s">
        <v>348</v>
      </c>
      <c r="C555" s="163">
        <f>6+4+15</f>
        <v>25</v>
      </c>
      <c r="D555" s="163">
        <v>3</v>
      </c>
      <c r="E555" s="134">
        <v>1532</v>
      </c>
      <c r="F555" s="186">
        <f t="shared" si="157"/>
        <v>38300</v>
      </c>
      <c r="G555" s="272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139">
        <f t="shared" si="158"/>
        <v>0</v>
      </c>
      <c r="X555" s="138">
        <f t="shared" si="159"/>
        <v>38300</v>
      </c>
      <c r="Y555" s="186">
        <f t="shared" si="156"/>
        <v>306400</v>
      </c>
    </row>
    <row r="556" spans="1:25" ht="17.25" customHeight="1" x14ac:dyDescent="0.25">
      <c r="A556" s="164">
        <v>20</v>
      </c>
      <c r="B556" s="164" t="s">
        <v>318</v>
      </c>
      <c r="C556" s="163">
        <f>35+3+2+75-6+1</f>
        <v>110</v>
      </c>
      <c r="D556" s="163">
        <v>2</v>
      </c>
      <c r="E556" s="134">
        <v>1521</v>
      </c>
      <c r="F556" s="186">
        <f t="shared" si="157"/>
        <v>167310</v>
      </c>
      <c r="G556" s="272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>
        <f>ROUNDUP(F556*10%,0)</f>
        <v>16731</v>
      </c>
      <c r="U556" s="206"/>
      <c r="V556" s="206"/>
      <c r="W556" s="139">
        <f t="shared" si="158"/>
        <v>16731</v>
      </c>
      <c r="X556" s="138">
        <f t="shared" si="159"/>
        <v>184041</v>
      </c>
      <c r="Y556" s="186">
        <f t="shared" si="156"/>
        <v>1472328</v>
      </c>
    </row>
    <row r="557" spans="1:25" ht="17.25" customHeight="1" x14ac:dyDescent="0.25">
      <c r="A557" s="164">
        <v>21</v>
      </c>
      <c r="B557" s="164" t="s">
        <v>317</v>
      </c>
      <c r="C557" s="163">
        <f>10+2-1+5</f>
        <v>16</v>
      </c>
      <c r="D557" s="163">
        <v>2</v>
      </c>
      <c r="E557" s="134">
        <v>1521</v>
      </c>
      <c r="F557" s="186">
        <f t="shared" si="157"/>
        <v>24336</v>
      </c>
      <c r="G557" s="272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139">
        <f t="shared" si="158"/>
        <v>0</v>
      </c>
      <c r="X557" s="138">
        <f t="shared" si="159"/>
        <v>24336</v>
      </c>
      <c r="Y557" s="186">
        <f t="shared" si="156"/>
        <v>194688</v>
      </c>
    </row>
    <row r="558" spans="1:25" ht="17.25" customHeight="1" x14ac:dyDescent="0.25">
      <c r="A558" s="164">
        <v>22</v>
      </c>
      <c r="B558" s="164" t="s">
        <v>182</v>
      </c>
      <c r="C558" s="163">
        <f>6+6+1</f>
        <v>13</v>
      </c>
      <c r="D558" s="163">
        <v>1</v>
      </c>
      <c r="E558" s="134">
        <v>1516</v>
      </c>
      <c r="F558" s="186">
        <f t="shared" si="157"/>
        <v>19708</v>
      </c>
      <c r="G558" s="272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139">
        <f t="shared" si="158"/>
        <v>0</v>
      </c>
      <c r="X558" s="138">
        <f t="shared" si="159"/>
        <v>19708</v>
      </c>
      <c r="Y558" s="186">
        <f t="shared" si="156"/>
        <v>157664</v>
      </c>
    </row>
    <row r="559" spans="1:25" ht="17.25" customHeight="1" x14ac:dyDescent="0.25">
      <c r="A559" s="164">
        <v>23</v>
      </c>
      <c r="B559" s="164" t="s">
        <v>349</v>
      </c>
      <c r="C559" s="163">
        <f>14-11</f>
        <v>3</v>
      </c>
      <c r="D559" s="163">
        <v>5</v>
      </c>
      <c r="E559" s="134">
        <v>1612</v>
      </c>
      <c r="F559" s="186">
        <f t="shared" si="157"/>
        <v>4836</v>
      </c>
      <c r="G559" s="272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139">
        <f t="shared" si="158"/>
        <v>0</v>
      </c>
      <c r="X559" s="138">
        <f t="shared" si="159"/>
        <v>4836</v>
      </c>
      <c r="Y559" s="186">
        <f t="shared" si="156"/>
        <v>38688</v>
      </c>
    </row>
    <row r="560" spans="1:25" ht="20.100000000000001" customHeight="1" x14ac:dyDescent="0.25">
      <c r="A560" s="164">
        <v>24</v>
      </c>
      <c r="B560" s="164" t="s">
        <v>350</v>
      </c>
      <c r="C560" s="163">
        <f>5-3</f>
        <v>2</v>
      </c>
      <c r="D560" s="163">
        <v>4</v>
      </c>
      <c r="E560" s="134">
        <v>1543</v>
      </c>
      <c r="F560" s="186">
        <f t="shared" si="157"/>
        <v>3086</v>
      </c>
      <c r="G560" s="272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139">
        <f t="shared" si="158"/>
        <v>0</v>
      </c>
      <c r="X560" s="138">
        <f t="shared" si="159"/>
        <v>3086</v>
      </c>
      <c r="Y560" s="186">
        <f t="shared" si="156"/>
        <v>24688</v>
      </c>
    </row>
    <row r="561" spans="1:26" ht="20.100000000000001" customHeight="1" x14ac:dyDescent="0.25">
      <c r="A561" s="164">
        <v>25</v>
      </c>
      <c r="B561" s="164" t="s">
        <v>351</v>
      </c>
      <c r="C561" s="163">
        <f>6-1</f>
        <v>5</v>
      </c>
      <c r="D561" s="163">
        <v>3</v>
      </c>
      <c r="E561" s="134">
        <v>1532</v>
      </c>
      <c r="F561" s="186">
        <f t="shared" si="157"/>
        <v>7660</v>
      </c>
      <c r="G561" s="272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139">
        <f t="shared" si="158"/>
        <v>0</v>
      </c>
      <c r="X561" s="138">
        <f t="shared" si="159"/>
        <v>7660</v>
      </c>
      <c r="Y561" s="186">
        <f t="shared" si="156"/>
        <v>61280</v>
      </c>
    </row>
    <row r="562" spans="1:26" ht="20.100000000000001" customHeight="1" x14ac:dyDescent="0.25">
      <c r="A562" s="164">
        <v>26</v>
      </c>
      <c r="B562" s="164" t="s">
        <v>352</v>
      </c>
      <c r="C562" s="163">
        <v>3</v>
      </c>
      <c r="D562" s="163">
        <v>3</v>
      </c>
      <c r="E562" s="134">
        <v>1532</v>
      </c>
      <c r="F562" s="186">
        <f t="shared" si="157"/>
        <v>4596</v>
      </c>
      <c r="G562" s="272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139">
        <f t="shared" si="158"/>
        <v>0</v>
      </c>
      <c r="X562" s="138">
        <f t="shared" si="159"/>
        <v>4596</v>
      </c>
      <c r="Y562" s="186">
        <f t="shared" si="156"/>
        <v>36768</v>
      </c>
    </row>
    <row r="563" spans="1:26" ht="20.100000000000001" customHeight="1" x14ac:dyDescent="0.25">
      <c r="A563" s="164">
        <v>27</v>
      </c>
      <c r="B563" s="164" t="s">
        <v>353</v>
      </c>
      <c r="C563" s="163">
        <v>5</v>
      </c>
      <c r="D563" s="163">
        <v>2</v>
      </c>
      <c r="E563" s="134">
        <v>1521</v>
      </c>
      <c r="F563" s="186">
        <f t="shared" si="157"/>
        <v>7605</v>
      </c>
      <c r="G563" s="272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139">
        <f t="shared" si="158"/>
        <v>0</v>
      </c>
      <c r="X563" s="138">
        <f t="shared" si="159"/>
        <v>7605</v>
      </c>
      <c r="Y563" s="186">
        <f t="shared" si="156"/>
        <v>60840</v>
      </c>
    </row>
    <row r="564" spans="1:26" ht="20.100000000000001" customHeight="1" x14ac:dyDescent="0.25">
      <c r="A564" s="164">
        <v>28</v>
      </c>
      <c r="B564" s="164" t="s">
        <v>222</v>
      </c>
      <c r="C564" s="163">
        <f>12-7</f>
        <v>5</v>
      </c>
      <c r="D564" s="163">
        <v>5</v>
      </c>
      <c r="E564" s="134">
        <v>1612</v>
      </c>
      <c r="F564" s="186">
        <f>E564*C564</f>
        <v>8060</v>
      </c>
      <c r="G564" s="272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139">
        <f t="shared" si="158"/>
        <v>0</v>
      </c>
      <c r="X564" s="138">
        <f t="shared" si="159"/>
        <v>8060</v>
      </c>
      <c r="Y564" s="186">
        <f t="shared" si="156"/>
        <v>64480</v>
      </c>
    </row>
    <row r="565" spans="1:26" ht="20.100000000000001" customHeight="1" x14ac:dyDescent="0.25">
      <c r="A565" s="164">
        <v>29</v>
      </c>
      <c r="B565" s="164" t="s">
        <v>190</v>
      </c>
      <c r="C565" s="163">
        <v>9</v>
      </c>
      <c r="D565" s="163">
        <v>4</v>
      </c>
      <c r="E565" s="134">
        <v>1543</v>
      </c>
      <c r="F565" s="186">
        <f t="shared" si="157"/>
        <v>13887</v>
      </c>
      <c r="G565" s="272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139">
        <f t="shared" si="158"/>
        <v>0</v>
      </c>
      <c r="X565" s="138">
        <f t="shared" si="159"/>
        <v>13887</v>
      </c>
      <c r="Y565" s="186">
        <f t="shared" si="156"/>
        <v>111096</v>
      </c>
    </row>
    <row r="566" spans="1:26" ht="20.100000000000001" customHeight="1" x14ac:dyDescent="0.25">
      <c r="A566" s="164">
        <v>30</v>
      </c>
      <c r="B566" s="164" t="s">
        <v>354</v>
      </c>
      <c r="C566" s="163">
        <v>3</v>
      </c>
      <c r="D566" s="163">
        <v>3</v>
      </c>
      <c r="E566" s="134">
        <v>1532</v>
      </c>
      <c r="F566" s="186">
        <f>E566*C566</f>
        <v>4596</v>
      </c>
      <c r="G566" s="272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139">
        <f t="shared" si="158"/>
        <v>0</v>
      </c>
      <c r="X566" s="138">
        <f t="shared" si="159"/>
        <v>4596</v>
      </c>
      <c r="Y566" s="186">
        <f t="shared" si="156"/>
        <v>36768</v>
      </c>
    </row>
    <row r="567" spans="1:26" ht="20.100000000000001" customHeight="1" x14ac:dyDescent="0.25">
      <c r="A567" s="164">
        <v>31</v>
      </c>
      <c r="B567" s="164" t="s">
        <v>223</v>
      </c>
      <c r="C567" s="163">
        <v>2</v>
      </c>
      <c r="D567" s="163">
        <v>3</v>
      </c>
      <c r="E567" s="134">
        <v>1532</v>
      </c>
      <c r="F567" s="186">
        <f>E567*C567</f>
        <v>3064</v>
      </c>
      <c r="G567" s="272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139">
        <f t="shared" si="158"/>
        <v>0</v>
      </c>
      <c r="X567" s="138">
        <f t="shared" si="159"/>
        <v>3064</v>
      </c>
      <c r="Y567" s="186">
        <f t="shared" si="156"/>
        <v>24512</v>
      </c>
    </row>
    <row r="568" spans="1:26" ht="20.100000000000001" customHeight="1" x14ac:dyDescent="0.25">
      <c r="A568" s="164">
        <v>32</v>
      </c>
      <c r="B568" s="164" t="s">
        <v>224</v>
      </c>
      <c r="C568" s="163">
        <v>2</v>
      </c>
      <c r="D568" s="163">
        <v>2</v>
      </c>
      <c r="E568" s="134">
        <v>1521</v>
      </c>
      <c r="F568" s="186">
        <f>E568*C568</f>
        <v>3042</v>
      </c>
      <c r="G568" s="272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139">
        <f t="shared" si="158"/>
        <v>0</v>
      </c>
      <c r="X568" s="138">
        <f t="shared" si="159"/>
        <v>3042</v>
      </c>
      <c r="Y568" s="186">
        <f t="shared" si="156"/>
        <v>24336</v>
      </c>
    </row>
    <row r="569" spans="1:26" ht="22.5" customHeight="1" x14ac:dyDescent="0.25">
      <c r="A569" s="164">
        <v>33</v>
      </c>
      <c r="B569" s="194" t="s">
        <v>355</v>
      </c>
      <c r="C569" s="163">
        <v>1</v>
      </c>
      <c r="D569" s="195">
        <v>2</v>
      </c>
      <c r="E569" s="134">
        <v>1521</v>
      </c>
      <c r="F569" s="183">
        <f>E569*C569</f>
        <v>1521</v>
      </c>
      <c r="G569" s="272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139">
        <f t="shared" si="158"/>
        <v>0</v>
      </c>
      <c r="X569" s="138">
        <f t="shared" si="159"/>
        <v>1521</v>
      </c>
      <c r="Y569" s="186">
        <f t="shared" si="156"/>
        <v>12168</v>
      </c>
    </row>
    <row r="570" spans="1:26" ht="20.100000000000001" customHeight="1" x14ac:dyDescent="0.25">
      <c r="A570" s="164">
        <v>34</v>
      </c>
      <c r="B570" s="164" t="s">
        <v>356</v>
      </c>
      <c r="C570" s="163">
        <f>5+2.5-1.5</f>
        <v>6</v>
      </c>
      <c r="D570" s="163">
        <v>1</v>
      </c>
      <c r="E570" s="134">
        <v>1516</v>
      </c>
      <c r="F570" s="183">
        <f t="shared" si="157"/>
        <v>9096</v>
      </c>
      <c r="G570" s="183"/>
      <c r="H570" s="139"/>
      <c r="I570" s="13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139">
        <f t="shared" si="158"/>
        <v>0</v>
      </c>
      <c r="X570" s="138">
        <f t="shared" si="159"/>
        <v>9096</v>
      </c>
      <c r="Y570" s="186">
        <f t="shared" si="156"/>
        <v>72768</v>
      </c>
    </row>
    <row r="571" spans="1:26" ht="20.100000000000001" customHeight="1" x14ac:dyDescent="0.25">
      <c r="A571" s="164">
        <v>35</v>
      </c>
      <c r="B571" s="164" t="s">
        <v>177</v>
      </c>
      <c r="C571" s="163">
        <f>14+5-0.5+1</f>
        <v>19.5</v>
      </c>
      <c r="D571" s="163">
        <v>1</v>
      </c>
      <c r="E571" s="134">
        <v>1516</v>
      </c>
      <c r="F571" s="186">
        <f t="shared" si="157"/>
        <v>29562</v>
      </c>
      <c r="G571" s="272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139">
        <f t="shared" si="158"/>
        <v>0</v>
      </c>
      <c r="X571" s="138">
        <f t="shared" si="159"/>
        <v>29562</v>
      </c>
      <c r="Y571" s="186">
        <f t="shared" si="156"/>
        <v>236496</v>
      </c>
    </row>
    <row r="572" spans="1:26" ht="20.100000000000001" customHeight="1" x14ac:dyDescent="0.25">
      <c r="A572" s="164">
        <v>36</v>
      </c>
      <c r="B572" s="135" t="s">
        <v>357</v>
      </c>
      <c r="C572" s="163">
        <f>11+4</f>
        <v>15</v>
      </c>
      <c r="D572" s="134">
        <v>3</v>
      </c>
      <c r="E572" s="134">
        <v>1532</v>
      </c>
      <c r="F572" s="186">
        <f t="shared" si="157"/>
        <v>22980</v>
      </c>
      <c r="G572" s="272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139">
        <f t="shared" si="158"/>
        <v>0</v>
      </c>
      <c r="X572" s="138">
        <f t="shared" si="159"/>
        <v>22980</v>
      </c>
      <c r="Y572" s="186">
        <f t="shared" si="156"/>
        <v>183840</v>
      </c>
    </row>
    <row r="573" spans="1:26" ht="20.100000000000001" customHeight="1" x14ac:dyDescent="0.25">
      <c r="A573" s="187"/>
      <c r="B573" s="164"/>
      <c r="C573" s="189">
        <f>SUM(C537:C572)</f>
        <v>420.5</v>
      </c>
      <c r="D573" s="189"/>
      <c r="E573" s="189"/>
      <c r="F573" s="190">
        <f t="shared" ref="F573:Y573" si="160">SUM(F537:F572)</f>
        <v>662370</v>
      </c>
      <c r="G573" s="190">
        <f t="shared" si="160"/>
        <v>0</v>
      </c>
      <c r="H573" s="189">
        <f t="shared" si="160"/>
        <v>0</v>
      </c>
      <c r="I573" s="189">
        <f t="shared" si="160"/>
        <v>0</v>
      </c>
      <c r="J573" s="189">
        <f t="shared" si="160"/>
        <v>0</v>
      </c>
      <c r="K573" s="189">
        <f t="shared" si="160"/>
        <v>0</v>
      </c>
      <c r="L573" s="189">
        <f t="shared" si="160"/>
        <v>0</v>
      </c>
      <c r="M573" s="189">
        <f t="shared" si="160"/>
        <v>0</v>
      </c>
      <c r="N573" s="189">
        <f t="shared" si="160"/>
        <v>0</v>
      </c>
      <c r="O573" s="189">
        <f t="shared" si="160"/>
        <v>0</v>
      </c>
      <c r="P573" s="189">
        <f t="shared" si="160"/>
        <v>0</v>
      </c>
      <c r="Q573" s="189">
        <f t="shared" si="160"/>
        <v>0</v>
      </c>
      <c r="R573" s="189">
        <f t="shared" si="160"/>
        <v>0</v>
      </c>
      <c r="S573" s="189">
        <f t="shared" si="160"/>
        <v>0</v>
      </c>
      <c r="T573" s="189">
        <f t="shared" si="160"/>
        <v>16731</v>
      </c>
      <c r="U573" s="189">
        <f t="shared" si="160"/>
        <v>0</v>
      </c>
      <c r="V573" s="189">
        <f t="shared" si="160"/>
        <v>0</v>
      </c>
      <c r="W573" s="189">
        <f t="shared" si="160"/>
        <v>16731</v>
      </c>
      <c r="X573" s="190">
        <f t="shared" si="160"/>
        <v>679101</v>
      </c>
      <c r="Y573" s="190">
        <f t="shared" si="160"/>
        <v>5432808</v>
      </c>
      <c r="Z573" s="189">
        <f>SUM(Z537:Z572)</f>
        <v>0</v>
      </c>
    </row>
    <row r="574" spans="1:26" ht="24.9" customHeight="1" x14ac:dyDescent="0.25">
      <c r="A574" s="174" t="s">
        <v>358</v>
      </c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6"/>
    </row>
    <row r="575" spans="1:26" ht="24.9" customHeight="1" x14ac:dyDescent="0.25">
      <c r="A575" s="134">
        <v>1</v>
      </c>
      <c r="B575" s="164" t="s">
        <v>359</v>
      </c>
      <c r="C575" s="163">
        <v>1</v>
      </c>
      <c r="D575" s="273">
        <v>7</v>
      </c>
      <c r="E575" s="134">
        <v>1825</v>
      </c>
      <c r="F575" s="183">
        <f t="shared" ref="F575:F582" si="161">E575*C575</f>
        <v>1825</v>
      </c>
      <c r="G575" s="183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63">
        <f t="shared" ref="W575:W582" si="162">SUM(H575:V575)</f>
        <v>0</v>
      </c>
      <c r="X575" s="186">
        <f t="shared" ref="X575:X582" si="163">C575*E575+W575</f>
        <v>1825</v>
      </c>
      <c r="Y575" s="186">
        <f>X575*8</f>
        <v>14600</v>
      </c>
    </row>
    <row r="576" spans="1:26" ht="24.9" customHeight="1" x14ac:dyDescent="0.25">
      <c r="A576" s="134">
        <v>2</v>
      </c>
      <c r="B576" s="164" t="s">
        <v>140</v>
      </c>
      <c r="C576" s="163">
        <v>1</v>
      </c>
      <c r="D576" s="163">
        <v>5</v>
      </c>
      <c r="E576" s="134">
        <v>1612</v>
      </c>
      <c r="F576" s="183">
        <f>E576*C576</f>
        <v>1612</v>
      </c>
      <c r="G576" s="183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63">
        <f t="shared" si="162"/>
        <v>0</v>
      </c>
      <c r="X576" s="186">
        <f t="shared" si="163"/>
        <v>1612</v>
      </c>
      <c r="Y576" s="186">
        <f t="shared" ref="Y576:Y582" si="164">X576*8</f>
        <v>12896</v>
      </c>
    </row>
    <row r="577" spans="1:25" ht="24.9" customHeight="1" x14ac:dyDescent="0.25">
      <c r="A577" s="134">
        <v>3</v>
      </c>
      <c r="B577" s="164" t="s">
        <v>360</v>
      </c>
      <c r="C577" s="163">
        <v>1</v>
      </c>
      <c r="D577" s="163">
        <v>5</v>
      </c>
      <c r="E577" s="134">
        <v>1612</v>
      </c>
      <c r="F577" s="183">
        <f t="shared" si="161"/>
        <v>1612</v>
      </c>
      <c r="G577" s="183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63">
        <f t="shared" si="162"/>
        <v>0</v>
      </c>
      <c r="X577" s="186">
        <f t="shared" si="163"/>
        <v>1612</v>
      </c>
      <c r="Y577" s="186">
        <f t="shared" si="164"/>
        <v>12896</v>
      </c>
    </row>
    <row r="578" spans="1:25" ht="24.9" customHeight="1" x14ac:dyDescent="0.25">
      <c r="A578" s="134">
        <v>4</v>
      </c>
      <c r="B578" s="203" t="s">
        <v>361</v>
      </c>
      <c r="C578" s="163">
        <v>1</v>
      </c>
      <c r="D578" s="163">
        <v>4</v>
      </c>
      <c r="E578" s="134">
        <v>1543</v>
      </c>
      <c r="F578" s="183">
        <f t="shared" si="161"/>
        <v>1543</v>
      </c>
      <c r="G578" s="183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63">
        <f t="shared" si="162"/>
        <v>0</v>
      </c>
      <c r="X578" s="186">
        <f t="shared" si="163"/>
        <v>1543</v>
      </c>
      <c r="Y578" s="186">
        <f t="shared" si="164"/>
        <v>12344</v>
      </c>
    </row>
    <row r="579" spans="1:25" ht="24.9" customHeight="1" x14ac:dyDescent="0.25">
      <c r="A579" s="134">
        <v>5</v>
      </c>
      <c r="B579" s="164" t="s">
        <v>300</v>
      </c>
      <c r="C579" s="163">
        <f>8-3+1+3</f>
        <v>9</v>
      </c>
      <c r="D579" s="163">
        <v>3</v>
      </c>
      <c r="E579" s="134">
        <v>1532</v>
      </c>
      <c r="F579" s="186">
        <f t="shared" si="161"/>
        <v>13788</v>
      </c>
      <c r="G579" s="186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>
        <f>ROUNDUP(F579*50%,0)</f>
        <v>6894</v>
      </c>
      <c r="W579" s="163">
        <f t="shared" si="162"/>
        <v>6894</v>
      </c>
      <c r="X579" s="186">
        <f t="shared" si="163"/>
        <v>20682</v>
      </c>
      <c r="Y579" s="186">
        <f t="shared" si="164"/>
        <v>165456</v>
      </c>
    </row>
    <row r="580" spans="1:25" ht="24.9" customHeight="1" x14ac:dyDescent="0.25">
      <c r="A580" s="134">
        <v>6</v>
      </c>
      <c r="B580" s="164" t="s">
        <v>300</v>
      </c>
      <c r="C580" s="163">
        <f>10-4</f>
        <v>6</v>
      </c>
      <c r="D580" s="163">
        <v>2</v>
      </c>
      <c r="E580" s="134">
        <v>1521</v>
      </c>
      <c r="F580" s="186">
        <f t="shared" si="161"/>
        <v>9126</v>
      </c>
      <c r="G580" s="186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>
        <f>ROUNDUP(F580*50%,0)</f>
        <v>4563</v>
      </c>
      <c r="W580" s="163">
        <f t="shared" si="162"/>
        <v>4563</v>
      </c>
      <c r="X580" s="186">
        <f t="shared" si="163"/>
        <v>13689</v>
      </c>
      <c r="Y580" s="186">
        <f t="shared" si="164"/>
        <v>109512</v>
      </c>
    </row>
    <row r="581" spans="1:25" ht="29.25" customHeight="1" x14ac:dyDescent="0.25">
      <c r="A581" s="134">
        <v>7</v>
      </c>
      <c r="B581" s="203" t="s">
        <v>362</v>
      </c>
      <c r="C581" s="163">
        <v>1</v>
      </c>
      <c r="D581" s="163">
        <v>2</v>
      </c>
      <c r="E581" s="134">
        <v>1521</v>
      </c>
      <c r="F581" s="186">
        <f t="shared" si="161"/>
        <v>1521</v>
      </c>
      <c r="G581" s="186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>
        <f>ROUNDUP(F581*50%,0)</f>
        <v>761</v>
      </c>
      <c r="W581" s="163">
        <f t="shared" si="162"/>
        <v>761</v>
      </c>
      <c r="X581" s="186">
        <f t="shared" si="163"/>
        <v>2282</v>
      </c>
      <c r="Y581" s="186">
        <f t="shared" si="164"/>
        <v>18256</v>
      </c>
    </row>
    <row r="582" spans="1:25" ht="24.9" customHeight="1" x14ac:dyDescent="0.25">
      <c r="A582" s="134">
        <v>8</v>
      </c>
      <c r="B582" s="164" t="s">
        <v>363</v>
      </c>
      <c r="C582" s="163">
        <v>2</v>
      </c>
      <c r="D582" s="163">
        <v>2</v>
      </c>
      <c r="E582" s="134">
        <v>1521</v>
      </c>
      <c r="F582" s="186">
        <f t="shared" si="161"/>
        <v>3042</v>
      </c>
      <c r="G582" s="186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>
        <f>ROUNDUP(F582*10%,0)</f>
        <v>305</v>
      </c>
      <c r="W582" s="163">
        <f t="shared" si="162"/>
        <v>305</v>
      </c>
      <c r="X582" s="186">
        <f t="shared" si="163"/>
        <v>3347</v>
      </c>
      <c r="Y582" s="186">
        <f t="shared" si="164"/>
        <v>26776</v>
      </c>
    </row>
    <row r="583" spans="1:25" ht="21" customHeight="1" x14ac:dyDescent="0.25">
      <c r="A583" s="163"/>
      <c r="B583" s="164"/>
      <c r="C583" s="189">
        <f>SUM(C575:C582)</f>
        <v>22</v>
      </c>
      <c r="D583" s="189"/>
      <c r="E583" s="163"/>
      <c r="F583" s="171">
        <f>SUM(F575:F582)</f>
        <v>34069</v>
      </c>
      <c r="G583" s="171"/>
      <c r="H583" s="172">
        <f t="shared" ref="H583:Y583" si="165">SUM(H575:H582)</f>
        <v>0</v>
      </c>
      <c r="I583" s="172">
        <f t="shared" si="165"/>
        <v>0</v>
      </c>
      <c r="J583" s="172">
        <f t="shared" si="165"/>
        <v>0</v>
      </c>
      <c r="K583" s="172">
        <f t="shared" si="165"/>
        <v>0</v>
      </c>
      <c r="L583" s="172">
        <f t="shared" si="165"/>
        <v>0</v>
      </c>
      <c r="M583" s="172">
        <f t="shared" si="165"/>
        <v>0</v>
      </c>
      <c r="N583" s="172">
        <f t="shared" si="165"/>
        <v>0</v>
      </c>
      <c r="O583" s="172">
        <f t="shared" si="165"/>
        <v>0</v>
      </c>
      <c r="P583" s="172">
        <f t="shared" si="165"/>
        <v>0</v>
      </c>
      <c r="Q583" s="172">
        <f t="shared" si="165"/>
        <v>0</v>
      </c>
      <c r="R583" s="172">
        <f t="shared" si="165"/>
        <v>0</v>
      </c>
      <c r="S583" s="172">
        <f t="shared" si="165"/>
        <v>0</v>
      </c>
      <c r="T583" s="172">
        <f t="shared" si="165"/>
        <v>0</v>
      </c>
      <c r="U583" s="172">
        <f t="shared" si="165"/>
        <v>0</v>
      </c>
      <c r="V583" s="172">
        <f t="shared" si="165"/>
        <v>12523</v>
      </c>
      <c r="W583" s="171">
        <f t="shared" si="165"/>
        <v>12523</v>
      </c>
      <c r="X583" s="171">
        <f t="shared" si="165"/>
        <v>46592</v>
      </c>
      <c r="Y583" s="171">
        <f t="shared" si="165"/>
        <v>372736</v>
      </c>
    </row>
    <row r="584" spans="1:25" ht="21.75" customHeight="1" x14ac:dyDescent="0.25">
      <c r="A584" s="179" t="s">
        <v>364</v>
      </c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1"/>
    </row>
    <row r="585" spans="1:25" ht="21.75" customHeight="1" x14ac:dyDescent="0.25">
      <c r="A585" s="137">
        <v>1</v>
      </c>
      <c r="B585" s="274" t="s">
        <v>365</v>
      </c>
      <c r="C585" s="137">
        <v>1.75</v>
      </c>
      <c r="D585" s="137">
        <v>9</v>
      </c>
      <c r="E585" s="137">
        <v>2050</v>
      </c>
      <c r="F585" s="138">
        <f t="shared" ref="F585:F590" si="166">E585*C585</f>
        <v>3587.5</v>
      </c>
      <c r="G585" s="138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59">
        <f t="shared" ref="W585:W590" si="167">SUM(H585:V585)</f>
        <v>0</v>
      </c>
      <c r="X585" s="138">
        <f t="shared" ref="X585:X590" si="168">W585+F585</f>
        <v>3587.5</v>
      </c>
      <c r="Y585" s="138">
        <f t="shared" ref="Y585:Y590" si="169">X585*8</f>
        <v>28700</v>
      </c>
    </row>
    <row r="586" spans="1:25" ht="21.75" customHeight="1" x14ac:dyDescent="0.25">
      <c r="A586" s="137">
        <v>2</v>
      </c>
      <c r="B586" s="274" t="s">
        <v>157</v>
      </c>
      <c r="C586" s="137">
        <v>0.5</v>
      </c>
      <c r="D586" s="137">
        <v>7</v>
      </c>
      <c r="E586" s="137">
        <v>1825</v>
      </c>
      <c r="F586" s="138">
        <f t="shared" si="166"/>
        <v>912.5</v>
      </c>
      <c r="G586" s="138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59">
        <f t="shared" si="167"/>
        <v>0</v>
      </c>
      <c r="X586" s="138">
        <f t="shared" si="168"/>
        <v>912.5</v>
      </c>
      <c r="Y586" s="138">
        <f t="shared" si="169"/>
        <v>7300</v>
      </c>
    </row>
    <row r="587" spans="1:25" ht="21.75" customHeight="1" x14ac:dyDescent="0.25">
      <c r="A587" s="137">
        <v>3</v>
      </c>
      <c r="B587" s="274" t="s">
        <v>277</v>
      </c>
      <c r="C587" s="137">
        <v>1</v>
      </c>
      <c r="D587" s="137">
        <v>2</v>
      </c>
      <c r="E587" s="137">
        <v>1521</v>
      </c>
      <c r="F587" s="138">
        <f t="shared" si="166"/>
        <v>1521</v>
      </c>
      <c r="G587" s="138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59">
        <f t="shared" si="167"/>
        <v>0</v>
      </c>
      <c r="X587" s="138">
        <f t="shared" si="168"/>
        <v>1521</v>
      </c>
      <c r="Y587" s="138">
        <f t="shared" si="169"/>
        <v>12168</v>
      </c>
    </row>
    <row r="588" spans="1:25" ht="21.75" customHeight="1" x14ac:dyDescent="0.25">
      <c r="A588" s="137">
        <v>4</v>
      </c>
      <c r="B588" s="274" t="s">
        <v>299</v>
      </c>
      <c r="C588" s="137">
        <v>0.5</v>
      </c>
      <c r="D588" s="137">
        <v>7</v>
      </c>
      <c r="E588" s="137">
        <v>1825</v>
      </c>
      <c r="F588" s="138">
        <f t="shared" si="166"/>
        <v>912.5</v>
      </c>
      <c r="G588" s="138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59">
        <f t="shared" si="167"/>
        <v>0</v>
      </c>
      <c r="X588" s="138">
        <f t="shared" si="168"/>
        <v>912.5</v>
      </c>
      <c r="Y588" s="138">
        <f t="shared" si="169"/>
        <v>7300</v>
      </c>
    </row>
    <row r="589" spans="1:25" ht="21.75" customHeight="1" x14ac:dyDescent="0.25">
      <c r="A589" s="137">
        <v>5</v>
      </c>
      <c r="B589" s="274" t="s">
        <v>336</v>
      </c>
      <c r="C589" s="137">
        <v>0.5</v>
      </c>
      <c r="D589" s="137">
        <v>4</v>
      </c>
      <c r="E589" s="137">
        <v>1543</v>
      </c>
      <c r="F589" s="138">
        <f t="shared" si="166"/>
        <v>771.5</v>
      </c>
      <c r="G589" s="138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59">
        <f t="shared" si="167"/>
        <v>0</v>
      </c>
      <c r="X589" s="138">
        <f t="shared" si="168"/>
        <v>771.5</v>
      </c>
      <c r="Y589" s="138">
        <f t="shared" si="169"/>
        <v>6172</v>
      </c>
    </row>
    <row r="590" spans="1:25" ht="21.75" customHeight="1" x14ac:dyDescent="0.25">
      <c r="A590" s="137">
        <v>6</v>
      </c>
      <c r="B590" s="274" t="s">
        <v>316</v>
      </c>
      <c r="C590" s="137">
        <v>8</v>
      </c>
      <c r="D590" s="137">
        <v>2</v>
      </c>
      <c r="E590" s="137">
        <v>1521</v>
      </c>
      <c r="F590" s="138">
        <f t="shared" si="166"/>
        <v>12168</v>
      </c>
      <c r="G590" s="138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59">
        <f t="shared" si="167"/>
        <v>0</v>
      </c>
      <c r="X590" s="138">
        <f t="shared" si="168"/>
        <v>12168</v>
      </c>
      <c r="Y590" s="138">
        <f t="shared" si="169"/>
        <v>97344</v>
      </c>
    </row>
    <row r="591" spans="1:25" ht="21.75" customHeight="1" x14ac:dyDescent="0.25">
      <c r="A591" s="184"/>
      <c r="B591" s="275" t="s">
        <v>9</v>
      </c>
      <c r="C591" s="169">
        <f>SUM(C585:C590)</f>
        <v>12.25</v>
      </c>
      <c r="D591" s="169"/>
      <c r="E591" s="169"/>
      <c r="F591" s="169">
        <f t="shared" ref="F591:Y591" si="170">SUM(F585:F590)</f>
        <v>19873</v>
      </c>
      <c r="G591" s="169"/>
      <c r="H591" s="169">
        <f t="shared" si="170"/>
        <v>0</v>
      </c>
      <c r="I591" s="169">
        <f t="shared" si="170"/>
        <v>0</v>
      </c>
      <c r="J591" s="169">
        <f t="shared" si="170"/>
        <v>0</v>
      </c>
      <c r="K591" s="169">
        <f t="shared" si="170"/>
        <v>0</v>
      </c>
      <c r="L591" s="169">
        <f t="shared" si="170"/>
        <v>0</v>
      </c>
      <c r="M591" s="169">
        <f t="shared" si="170"/>
        <v>0</v>
      </c>
      <c r="N591" s="169">
        <f t="shared" si="170"/>
        <v>0</v>
      </c>
      <c r="O591" s="169">
        <f t="shared" si="170"/>
        <v>0</v>
      </c>
      <c r="P591" s="169">
        <f t="shared" si="170"/>
        <v>0</v>
      </c>
      <c r="Q591" s="169">
        <f t="shared" si="170"/>
        <v>0</v>
      </c>
      <c r="R591" s="169">
        <f t="shared" si="170"/>
        <v>0</v>
      </c>
      <c r="S591" s="169">
        <f t="shared" si="170"/>
        <v>0</v>
      </c>
      <c r="T591" s="169">
        <f t="shared" si="170"/>
        <v>0</v>
      </c>
      <c r="U591" s="169">
        <f t="shared" si="170"/>
        <v>0</v>
      </c>
      <c r="V591" s="169">
        <f t="shared" si="170"/>
        <v>0</v>
      </c>
      <c r="W591" s="169">
        <f t="shared" si="170"/>
        <v>0</v>
      </c>
      <c r="X591" s="169">
        <f t="shared" si="170"/>
        <v>19873</v>
      </c>
      <c r="Y591" s="169">
        <f t="shared" si="170"/>
        <v>158984</v>
      </c>
    </row>
    <row r="592" spans="1:25" ht="21.75" customHeight="1" x14ac:dyDescent="0.25">
      <c r="A592" s="230" t="s">
        <v>265</v>
      </c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2"/>
    </row>
    <row r="593" spans="1:25" ht="21.75" customHeight="1" x14ac:dyDescent="0.25">
      <c r="A593" s="163">
        <v>1</v>
      </c>
      <c r="B593" s="164" t="s">
        <v>99</v>
      </c>
      <c r="C593" s="163">
        <v>1</v>
      </c>
      <c r="D593" s="163">
        <v>9</v>
      </c>
      <c r="E593" s="134">
        <v>2050</v>
      </c>
      <c r="F593" s="183">
        <f>E593*C593</f>
        <v>2050</v>
      </c>
      <c r="G593" s="183"/>
      <c r="H593" s="139"/>
      <c r="I593" s="13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>
        <f>SUM(H593:V593)</f>
        <v>0</v>
      </c>
      <c r="X593" s="138">
        <f>F593+W593</f>
        <v>2050</v>
      </c>
      <c r="Y593" s="186">
        <f>X593*8</f>
        <v>16400</v>
      </c>
    </row>
    <row r="594" spans="1:25" ht="21.75" customHeight="1" x14ac:dyDescent="0.25">
      <c r="A594" s="163">
        <v>2</v>
      </c>
      <c r="B594" s="164" t="s">
        <v>100</v>
      </c>
      <c r="C594" s="163">
        <v>1</v>
      </c>
      <c r="D594" s="163">
        <v>8</v>
      </c>
      <c r="E594" s="134">
        <v>1943</v>
      </c>
      <c r="F594" s="183">
        <f>E594*C594</f>
        <v>1943</v>
      </c>
      <c r="G594" s="183"/>
      <c r="H594" s="139"/>
      <c r="I594" s="13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>
        <f>SUM(H594:V594)</f>
        <v>0</v>
      </c>
      <c r="X594" s="138">
        <f>F594+W594</f>
        <v>1943</v>
      </c>
      <c r="Y594" s="186">
        <f>X594*8</f>
        <v>15544</v>
      </c>
    </row>
    <row r="595" spans="1:25" ht="21.75" customHeight="1" x14ac:dyDescent="0.25">
      <c r="A595" s="134"/>
      <c r="B595" s="135"/>
      <c r="C595" s="178">
        <f>SUM(C593:C594)</f>
        <v>2</v>
      </c>
      <c r="D595" s="178"/>
      <c r="E595" s="163"/>
      <c r="F595" s="171">
        <f>SUM(F593:F594)</f>
        <v>3993</v>
      </c>
      <c r="G595" s="171"/>
      <c r="H595" s="171">
        <f t="shared" ref="H595:Y595" si="171">SUM(H593:H594)</f>
        <v>0</v>
      </c>
      <c r="I595" s="171">
        <f t="shared" si="171"/>
        <v>0</v>
      </c>
      <c r="J595" s="171">
        <f t="shared" si="171"/>
        <v>0</v>
      </c>
      <c r="K595" s="171">
        <f t="shared" si="171"/>
        <v>0</v>
      </c>
      <c r="L595" s="171">
        <f t="shared" si="171"/>
        <v>0</v>
      </c>
      <c r="M595" s="171">
        <f t="shared" si="171"/>
        <v>0</v>
      </c>
      <c r="N595" s="171">
        <f t="shared" si="171"/>
        <v>0</v>
      </c>
      <c r="O595" s="171">
        <f t="shared" si="171"/>
        <v>0</v>
      </c>
      <c r="P595" s="171">
        <f t="shared" si="171"/>
        <v>0</v>
      </c>
      <c r="Q595" s="171">
        <f t="shared" si="171"/>
        <v>0</v>
      </c>
      <c r="R595" s="171">
        <f t="shared" si="171"/>
        <v>0</v>
      </c>
      <c r="S595" s="171">
        <f t="shared" si="171"/>
        <v>0</v>
      </c>
      <c r="T595" s="171">
        <f t="shared" si="171"/>
        <v>0</v>
      </c>
      <c r="U595" s="171">
        <f t="shared" si="171"/>
        <v>0</v>
      </c>
      <c r="V595" s="171">
        <f t="shared" si="171"/>
        <v>0</v>
      </c>
      <c r="W595" s="171">
        <f t="shared" si="171"/>
        <v>0</v>
      </c>
      <c r="X595" s="171">
        <f t="shared" si="171"/>
        <v>3993</v>
      </c>
      <c r="Y595" s="171">
        <f t="shared" si="171"/>
        <v>31944</v>
      </c>
    </row>
    <row r="596" spans="1:25" ht="21.75" customHeight="1" x14ac:dyDescent="0.25">
      <c r="A596" s="230" t="s">
        <v>191</v>
      </c>
      <c r="B596" s="231"/>
      <c r="C596" s="231"/>
      <c r="D596" s="231"/>
      <c r="E596" s="231"/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2"/>
    </row>
    <row r="597" spans="1:25" ht="21.75" customHeight="1" x14ac:dyDescent="0.25">
      <c r="A597" s="163">
        <v>1</v>
      </c>
      <c r="B597" s="164" t="s">
        <v>102</v>
      </c>
      <c r="C597" s="166">
        <v>1</v>
      </c>
      <c r="D597" s="166">
        <v>7</v>
      </c>
      <c r="E597" s="137">
        <v>1825</v>
      </c>
      <c r="F597" s="138">
        <f>E597*C597</f>
        <v>1825</v>
      </c>
      <c r="G597" s="138"/>
      <c r="H597" s="139"/>
      <c r="I597" s="13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139">
        <f>SUM(H597:V597)</f>
        <v>0</v>
      </c>
      <c r="X597" s="138">
        <f>C597*E597+W597</f>
        <v>1825</v>
      </c>
      <c r="Y597" s="186">
        <f>X597*8</f>
        <v>14600</v>
      </c>
    </row>
    <row r="598" spans="1:25" ht="21.75" customHeight="1" x14ac:dyDescent="0.25">
      <c r="A598" s="178"/>
      <c r="B598" s="178"/>
      <c r="C598" s="178">
        <f>SUM(C597:C597)</f>
        <v>1</v>
      </c>
      <c r="D598" s="178"/>
      <c r="E598" s="178"/>
      <c r="F598" s="171">
        <f>SUM(F597:F597)</f>
        <v>1825</v>
      </c>
      <c r="G598" s="171"/>
      <c r="H598" s="171">
        <f t="shared" ref="H598:Y598" si="172">SUM(H597:H597)</f>
        <v>0</v>
      </c>
      <c r="I598" s="171">
        <f t="shared" si="172"/>
        <v>0</v>
      </c>
      <c r="J598" s="171">
        <f t="shared" si="172"/>
        <v>0</v>
      </c>
      <c r="K598" s="171">
        <f t="shared" si="172"/>
        <v>0</v>
      </c>
      <c r="L598" s="171">
        <f t="shared" si="172"/>
        <v>0</v>
      </c>
      <c r="M598" s="171">
        <f t="shared" si="172"/>
        <v>0</v>
      </c>
      <c r="N598" s="171">
        <f t="shared" si="172"/>
        <v>0</v>
      </c>
      <c r="O598" s="171">
        <f t="shared" si="172"/>
        <v>0</v>
      </c>
      <c r="P598" s="171">
        <f t="shared" si="172"/>
        <v>0</v>
      </c>
      <c r="Q598" s="171">
        <f t="shared" si="172"/>
        <v>0</v>
      </c>
      <c r="R598" s="171">
        <f t="shared" si="172"/>
        <v>0</v>
      </c>
      <c r="S598" s="171">
        <f t="shared" si="172"/>
        <v>0</v>
      </c>
      <c r="T598" s="171">
        <f t="shared" si="172"/>
        <v>0</v>
      </c>
      <c r="U598" s="171">
        <f t="shared" si="172"/>
        <v>0</v>
      </c>
      <c r="V598" s="171">
        <f t="shared" si="172"/>
        <v>0</v>
      </c>
      <c r="W598" s="171">
        <f t="shared" si="172"/>
        <v>0</v>
      </c>
      <c r="X598" s="171">
        <f t="shared" si="172"/>
        <v>1825</v>
      </c>
      <c r="Y598" s="171">
        <f t="shared" si="172"/>
        <v>14600</v>
      </c>
    </row>
    <row r="599" spans="1:25" ht="21.75" customHeight="1" x14ac:dyDescent="0.25">
      <c r="A599" s="230" t="s">
        <v>366</v>
      </c>
      <c r="B599" s="231"/>
      <c r="C599" s="231"/>
      <c r="D599" s="231"/>
      <c r="E599" s="231"/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2"/>
    </row>
    <row r="600" spans="1:25" ht="21.75" customHeight="1" x14ac:dyDescent="0.25">
      <c r="A600" s="134">
        <v>1</v>
      </c>
      <c r="B600" s="135" t="s">
        <v>316</v>
      </c>
      <c r="C600" s="134">
        <v>9</v>
      </c>
      <c r="D600" s="134">
        <v>2</v>
      </c>
      <c r="E600" s="163">
        <v>1521</v>
      </c>
      <c r="F600" s="186">
        <f>E600*C600</f>
        <v>13689</v>
      </c>
      <c r="G600" s="186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>
        <f>SUM(H600:V600)</f>
        <v>0</v>
      </c>
      <c r="X600" s="183">
        <f>C600*E600+W600</f>
        <v>13689</v>
      </c>
      <c r="Y600" s="183">
        <f>X600*8</f>
        <v>109512</v>
      </c>
    </row>
    <row r="601" spans="1:25" ht="26.4" customHeight="1" x14ac:dyDescent="0.25">
      <c r="A601" s="163">
        <v>2</v>
      </c>
      <c r="B601" s="194" t="s">
        <v>367</v>
      </c>
      <c r="C601" s="163">
        <v>0.5</v>
      </c>
      <c r="D601" s="163">
        <v>3</v>
      </c>
      <c r="E601" s="134">
        <v>1532</v>
      </c>
      <c r="F601" s="183">
        <f>E601*C601</f>
        <v>766</v>
      </c>
      <c r="G601" s="183"/>
      <c r="H601" s="139"/>
      <c r="I601" s="13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139">
        <f>SUM(H601:V601)</f>
        <v>0</v>
      </c>
      <c r="X601" s="138">
        <f>C601*E601+W601</f>
        <v>766</v>
      </c>
      <c r="Y601" s="183">
        <f>X601*8</f>
        <v>6128</v>
      </c>
    </row>
    <row r="602" spans="1:25" ht="21.75" customHeight="1" x14ac:dyDescent="0.25">
      <c r="A602" s="163">
        <v>3</v>
      </c>
      <c r="B602" s="194" t="s">
        <v>368</v>
      </c>
      <c r="C602" s="163">
        <v>1</v>
      </c>
      <c r="D602" s="163">
        <v>9</v>
      </c>
      <c r="E602" s="134">
        <v>2050</v>
      </c>
      <c r="F602" s="183">
        <f>E602*C602</f>
        <v>2050</v>
      </c>
      <c r="G602" s="183"/>
      <c r="H602" s="139"/>
      <c r="I602" s="13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139">
        <f>SUM(H602:V602)</f>
        <v>0</v>
      </c>
      <c r="X602" s="138">
        <f>C602*E602+W602</f>
        <v>2050</v>
      </c>
      <c r="Y602" s="183">
        <f>X602*2</f>
        <v>4100</v>
      </c>
    </row>
    <row r="603" spans="1:25" ht="21.75" customHeight="1" x14ac:dyDescent="0.25">
      <c r="A603" s="163">
        <v>4</v>
      </c>
      <c r="B603" s="194" t="s">
        <v>369</v>
      </c>
      <c r="C603" s="163">
        <v>1</v>
      </c>
      <c r="D603" s="163">
        <v>6</v>
      </c>
      <c r="E603" s="134">
        <v>1718</v>
      </c>
      <c r="F603" s="183">
        <f>E603*C603</f>
        <v>1718</v>
      </c>
      <c r="G603" s="183"/>
      <c r="H603" s="139"/>
      <c r="I603" s="13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139">
        <f>SUM(H603:V603)</f>
        <v>0</v>
      </c>
      <c r="X603" s="138">
        <f>C603*E603+W603</f>
        <v>1718</v>
      </c>
      <c r="Y603" s="183">
        <f>X603*2</f>
        <v>3436</v>
      </c>
    </row>
    <row r="604" spans="1:25" ht="21.75" customHeight="1" x14ac:dyDescent="0.25">
      <c r="A604" s="163">
        <v>5</v>
      </c>
      <c r="B604" s="194" t="s">
        <v>370</v>
      </c>
      <c r="C604" s="163">
        <v>2</v>
      </c>
      <c r="D604" s="163">
        <v>2</v>
      </c>
      <c r="E604" s="134">
        <v>1521</v>
      </c>
      <c r="F604" s="183">
        <f>E604*C604</f>
        <v>3042</v>
      </c>
      <c r="G604" s="183"/>
      <c r="H604" s="139"/>
      <c r="I604" s="13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139">
        <f>SUM(H604:V604)</f>
        <v>0</v>
      </c>
      <c r="X604" s="138">
        <f>C604*E604+W604</f>
        <v>3042</v>
      </c>
      <c r="Y604" s="183">
        <f>X604*2</f>
        <v>6084</v>
      </c>
    </row>
    <row r="605" spans="1:25" ht="21.75" customHeight="1" x14ac:dyDescent="0.25">
      <c r="A605" s="134"/>
      <c r="B605" s="135"/>
      <c r="C605" s="178">
        <f>SUM(C600:C604)</f>
        <v>13.5</v>
      </c>
      <c r="D605" s="178"/>
      <c r="E605" s="178"/>
      <c r="F605" s="171">
        <f t="shared" ref="F605:Y605" si="173">SUM(F600:F604)</f>
        <v>21265</v>
      </c>
      <c r="G605" s="178">
        <f t="shared" si="173"/>
        <v>0</v>
      </c>
      <c r="H605" s="178">
        <f t="shared" si="173"/>
        <v>0</v>
      </c>
      <c r="I605" s="178">
        <f t="shared" si="173"/>
        <v>0</v>
      </c>
      <c r="J605" s="178">
        <f t="shared" si="173"/>
        <v>0</v>
      </c>
      <c r="K605" s="178">
        <f t="shared" si="173"/>
        <v>0</v>
      </c>
      <c r="L605" s="178">
        <f t="shared" si="173"/>
        <v>0</v>
      </c>
      <c r="M605" s="178">
        <f t="shared" si="173"/>
        <v>0</v>
      </c>
      <c r="N605" s="178">
        <f t="shared" si="173"/>
        <v>0</v>
      </c>
      <c r="O605" s="178">
        <f t="shared" si="173"/>
        <v>0</v>
      </c>
      <c r="P605" s="178">
        <f t="shared" si="173"/>
        <v>0</v>
      </c>
      <c r="Q605" s="178">
        <f t="shared" si="173"/>
        <v>0</v>
      </c>
      <c r="R605" s="178">
        <f t="shared" si="173"/>
        <v>0</v>
      </c>
      <c r="S605" s="178">
        <f t="shared" si="173"/>
        <v>0</v>
      </c>
      <c r="T605" s="178">
        <f t="shared" si="173"/>
        <v>0</v>
      </c>
      <c r="U605" s="178">
        <f t="shared" si="173"/>
        <v>0</v>
      </c>
      <c r="V605" s="178">
        <f t="shared" si="173"/>
        <v>0</v>
      </c>
      <c r="W605" s="178">
        <f t="shared" si="173"/>
        <v>0</v>
      </c>
      <c r="X605" s="171">
        <f t="shared" si="173"/>
        <v>21265</v>
      </c>
      <c r="Y605" s="171">
        <f t="shared" si="173"/>
        <v>129260</v>
      </c>
    </row>
    <row r="606" spans="1:25" ht="24.9" customHeight="1" x14ac:dyDescent="0.25">
      <c r="A606" s="276" t="s">
        <v>186</v>
      </c>
      <c r="B606" s="277"/>
      <c r="C606" s="277"/>
      <c r="D606" s="277"/>
      <c r="E606" s="277"/>
      <c r="F606" s="277"/>
      <c r="G606" s="277"/>
      <c r="H606" s="277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  <c r="X606" s="277"/>
      <c r="Y606" s="278"/>
    </row>
    <row r="607" spans="1:25" ht="24.9" customHeight="1" x14ac:dyDescent="0.25">
      <c r="A607" s="134">
        <v>1</v>
      </c>
      <c r="B607" s="135" t="s">
        <v>230</v>
      </c>
      <c r="C607" s="163">
        <v>1</v>
      </c>
      <c r="D607" s="163"/>
      <c r="E607" s="163">
        <v>2261</v>
      </c>
      <c r="F607" s="186">
        <f t="shared" ref="F607:F641" si="174">E607*C607</f>
        <v>2261</v>
      </c>
      <c r="G607" s="186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>
        <f t="shared" ref="W607:W641" si="175">SUM(H607:V607)</f>
        <v>0</v>
      </c>
      <c r="X607" s="186">
        <f t="shared" ref="X607:X641" si="176">C607*E607+W607</f>
        <v>2261</v>
      </c>
      <c r="Y607" s="186">
        <f>X607*8</f>
        <v>18088</v>
      </c>
    </row>
    <row r="608" spans="1:25" ht="24.9" customHeight="1" x14ac:dyDescent="0.25">
      <c r="A608" s="134">
        <v>2</v>
      </c>
      <c r="B608" s="164" t="s">
        <v>183</v>
      </c>
      <c r="C608" s="163">
        <v>1</v>
      </c>
      <c r="D608" s="163">
        <v>5</v>
      </c>
      <c r="E608" s="163">
        <v>1612</v>
      </c>
      <c r="F608" s="186">
        <f t="shared" si="174"/>
        <v>1612</v>
      </c>
      <c r="G608" s="186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>
        <f t="shared" si="175"/>
        <v>0</v>
      </c>
      <c r="X608" s="186">
        <f t="shared" si="176"/>
        <v>1612</v>
      </c>
      <c r="Y608" s="186">
        <f t="shared" ref="Y608:Y641" si="177">X608*8</f>
        <v>12896</v>
      </c>
    </row>
    <row r="609" spans="1:25" ht="24.9" customHeight="1" x14ac:dyDescent="0.25">
      <c r="A609" s="134">
        <v>3</v>
      </c>
      <c r="B609" s="164" t="s">
        <v>354</v>
      </c>
      <c r="C609" s="166">
        <v>1</v>
      </c>
      <c r="D609" s="166">
        <v>3</v>
      </c>
      <c r="E609" s="163">
        <v>1532</v>
      </c>
      <c r="F609" s="138">
        <f t="shared" si="174"/>
        <v>1532</v>
      </c>
      <c r="G609" s="138"/>
      <c r="H609" s="139"/>
      <c r="I609" s="13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163">
        <f t="shared" si="175"/>
        <v>0</v>
      </c>
      <c r="X609" s="186">
        <f t="shared" si="176"/>
        <v>1532</v>
      </c>
      <c r="Y609" s="186">
        <f t="shared" si="177"/>
        <v>12256</v>
      </c>
    </row>
    <row r="610" spans="1:25" ht="24.9" customHeight="1" x14ac:dyDescent="0.25">
      <c r="A610" s="134">
        <v>4</v>
      </c>
      <c r="B610" s="164" t="s">
        <v>119</v>
      </c>
      <c r="C610" s="166">
        <v>1</v>
      </c>
      <c r="D610" s="163">
        <v>7</v>
      </c>
      <c r="E610" s="163">
        <v>1825</v>
      </c>
      <c r="F610" s="138">
        <f t="shared" si="174"/>
        <v>1825</v>
      </c>
      <c r="G610" s="138"/>
      <c r="H610" s="139"/>
      <c r="I610" s="13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163">
        <f t="shared" si="175"/>
        <v>0</v>
      </c>
      <c r="X610" s="186">
        <f t="shared" si="176"/>
        <v>1825</v>
      </c>
      <c r="Y610" s="186">
        <f t="shared" si="177"/>
        <v>14600</v>
      </c>
    </row>
    <row r="611" spans="1:25" ht="24.9" customHeight="1" x14ac:dyDescent="0.25">
      <c r="A611" s="134">
        <v>5</v>
      </c>
      <c r="B611" s="164" t="s">
        <v>317</v>
      </c>
      <c r="C611" s="163">
        <v>1</v>
      </c>
      <c r="D611" s="163">
        <v>2</v>
      </c>
      <c r="E611" s="163">
        <v>1521</v>
      </c>
      <c r="F611" s="138">
        <f t="shared" si="174"/>
        <v>1521</v>
      </c>
      <c r="G611" s="138"/>
      <c r="H611" s="139"/>
      <c r="I611" s="13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163">
        <f t="shared" si="175"/>
        <v>0</v>
      </c>
      <c r="X611" s="186">
        <f t="shared" si="176"/>
        <v>1521</v>
      </c>
      <c r="Y611" s="186">
        <f t="shared" si="177"/>
        <v>12168</v>
      </c>
    </row>
    <row r="612" spans="1:25" ht="24.9" customHeight="1" x14ac:dyDescent="0.25">
      <c r="A612" s="163">
        <v>6</v>
      </c>
      <c r="B612" s="164" t="s">
        <v>176</v>
      </c>
      <c r="C612" s="166">
        <v>2</v>
      </c>
      <c r="D612" s="166">
        <v>1</v>
      </c>
      <c r="E612" s="137">
        <v>1516</v>
      </c>
      <c r="F612" s="138">
        <f>E612*C612</f>
        <v>3032</v>
      </c>
      <c r="G612" s="138"/>
      <c r="H612" s="139"/>
      <c r="I612" s="13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139">
        <f>SUM(H612:V612)</f>
        <v>0</v>
      </c>
      <c r="X612" s="138">
        <f t="shared" si="176"/>
        <v>3032</v>
      </c>
      <c r="Y612" s="186">
        <f t="shared" si="177"/>
        <v>24256</v>
      </c>
    </row>
    <row r="613" spans="1:25" ht="23.1" customHeight="1" x14ac:dyDescent="0.25">
      <c r="A613" s="163">
        <v>7</v>
      </c>
      <c r="B613" s="164" t="s">
        <v>173</v>
      </c>
      <c r="C613" s="166">
        <v>6</v>
      </c>
      <c r="D613" s="166">
        <v>2</v>
      </c>
      <c r="E613" s="163">
        <v>1521</v>
      </c>
      <c r="F613" s="138">
        <f>E613*C613</f>
        <v>9126</v>
      </c>
      <c r="G613" s="138"/>
      <c r="H613" s="139"/>
      <c r="I613" s="13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>
        <f>ROUNDUP(F613*10%,0)</f>
        <v>913</v>
      </c>
      <c r="U613" s="59"/>
      <c r="V613" s="59"/>
      <c r="W613" s="139">
        <f t="shared" si="175"/>
        <v>913</v>
      </c>
      <c r="X613" s="138">
        <f t="shared" si="176"/>
        <v>10039</v>
      </c>
      <c r="Y613" s="186">
        <f t="shared" si="177"/>
        <v>80312</v>
      </c>
    </row>
    <row r="614" spans="1:25" ht="24.9" customHeight="1" x14ac:dyDescent="0.25">
      <c r="A614" s="163">
        <v>8</v>
      </c>
      <c r="B614" s="164" t="s">
        <v>182</v>
      </c>
      <c r="C614" s="163">
        <v>2</v>
      </c>
      <c r="D614" s="163">
        <v>1</v>
      </c>
      <c r="E614" s="163">
        <v>1516</v>
      </c>
      <c r="F614" s="138">
        <f t="shared" si="174"/>
        <v>3032</v>
      </c>
      <c r="G614" s="138"/>
      <c r="H614" s="139"/>
      <c r="I614" s="13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163">
        <f t="shared" si="175"/>
        <v>0</v>
      </c>
      <c r="X614" s="186">
        <f t="shared" si="176"/>
        <v>3032</v>
      </c>
      <c r="Y614" s="186">
        <f t="shared" si="177"/>
        <v>24256</v>
      </c>
    </row>
    <row r="615" spans="1:25" ht="24.9" customHeight="1" x14ac:dyDescent="0.25">
      <c r="A615" s="163">
        <v>9</v>
      </c>
      <c r="B615" s="164" t="s">
        <v>189</v>
      </c>
      <c r="C615" s="163">
        <v>4</v>
      </c>
      <c r="D615" s="163">
        <v>3</v>
      </c>
      <c r="E615" s="163">
        <v>1532</v>
      </c>
      <c r="F615" s="186">
        <f t="shared" si="174"/>
        <v>6128</v>
      </c>
      <c r="G615" s="186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>
        <f t="shared" si="175"/>
        <v>0</v>
      </c>
      <c r="X615" s="186">
        <f t="shared" si="176"/>
        <v>6128</v>
      </c>
      <c r="Y615" s="186">
        <f t="shared" si="177"/>
        <v>49024</v>
      </c>
    </row>
    <row r="616" spans="1:25" ht="31.5" customHeight="1" x14ac:dyDescent="0.25">
      <c r="A616" s="163">
        <v>10</v>
      </c>
      <c r="B616" s="151" t="s">
        <v>371</v>
      </c>
      <c r="C616" s="163">
        <v>1</v>
      </c>
      <c r="D616" s="163">
        <v>10</v>
      </c>
      <c r="E616" s="163">
        <v>2157</v>
      </c>
      <c r="F616" s="186">
        <f t="shared" si="174"/>
        <v>2157</v>
      </c>
      <c r="G616" s="186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>
        <f t="shared" si="175"/>
        <v>0</v>
      </c>
      <c r="X616" s="186">
        <f t="shared" si="176"/>
        <v>2157</v>
      </c>
      <c r="Y616" s="186">
        <f t="shared" si="177"/>
        <v>17256</v>
      </c>
    </row>
    <row r="617" spans="1:25" ht="33.75" customHeight="1" x14ac:dyDescent="0.25">
      <c r="A617" s="163">
        <v>11</v>
      </c>
      <c r="B617" s="151" t="s">
        <v>372</v>
      </c>
      <c r="C617" s="163">
        <v>1</v>
      </c>
      <c r="D617" s="163">
        <v>9</v>
      </c>
      <c r="E617" s="163">
        <v>2050</v>
      </c>
      <c r="F617" s="186">
        <f t="shared" si="174"/>
        <v>2050</v>
      </c>
      <c r="G617" s="186"/>
      <c r="H617" s="163"/>
      <c r="I617" s="59">
        <f>ROUNDUP(F617*20%,0)</f>
        <v>410</v>
      </c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>
        <f t="shared" si="175"/>
        <v>410</v>
      </c>
      <c r="X617" s="186">
        <f t="shared" si="176"/>
        <v>2460</v>
      </c>
      <c r="Y617" s="186">
        <f t="shared" si="177"/>
        <v>19680</v>
      </c>
    </row>
    <row r="618" spans="1:25" ht="30.75" customHeight="1" x14ac:dyDescent="0.25">
      <c r="A618" s="163">
        <v>12</v>
      </c>
      <c r="B618" s="151" t="s">
        <v>373</v>
      </c>
      <c r="C618" s="163">
        <v>1</v>
      </c>
      <c r="D618" s="163">
        <v>8</v>
      </c>
      <c r="E618" s="163">
        <v>1943</v>
      </c>
      <c r="F618" s="186">
        <f t="shared" si="174"/>
        <v>1943</v>
      </c>
      <c r="G618" s="186"/>
      <c r="H618" s="163"/>
      <c r="I618" s="59">
        <f>ROUNDUP(F618*20%,0)</f>
        <v>389</v>
      </c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>
        <f t="shared" si="175"/>
        <v>389</v>
      </c>
      <c r="X618" s="186">
        <f t="shared" si="176"/>
        <v>2332</v>
      </c>
      <c r="Y618" s="186">
        <f t="shared" si="177"/>
        <v>18656</v>
      </c>
    </row>
    <row r="619" spans="1:25" ht="24.9" customHeight="1" x14ac:dyDescent="0.25">
      <c r="A619" s="163">
        <v>13</v>
      </c>
      <c r="B619" s="151" t="s">
        <v>99</v>
      </c>
      <c r="C619" s="163">
        <v>1</v>
      </c>
      <c r="D619" s="163">
        <v>9</v>
      </c>
      <c r="E619" s="163">
        <v>2050</v>
      </c>
      <c r="F619" s="186">
        <f t="shared" si="174"/>
        <v>2050</v>
      </c>
      <c r="G619" s="186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>
        <f t="shared" si="175"/>
        <v>0</v>
      </c>
      <c r="X619" s="186">
        <f t="shared" si="176"/>
        <v>2050</v>
      </c>
      <c r="Y619" s="186">
        <f t="shared" si="177"/>
        <v>16400</v>
      </c>
    </row>
    <row r="620" spans="1:25" ht="24.9" customHeight="1" x14ac:dyDescent="0.25">
      <c r="A620" s="163">
        <v>14</v>
      </c>
      <c r="B620" s="151" t="s">
        <v>374</v>
      </c>
      <c r="C620" s="163">
        <v>1</v>
      </c>
      <c r="D620" s="163">
        <v>8</v>
      </c>
      <c r="E620" s="163">
        <v>1943</v>
      </c>
      <c r="F620" s="186">
        <f t="shared" si="174"/>
        <v>1943</v>
      </c>
      <c r="G620" s="186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>
        <f t="shared" si="175"/>
        <v>0</v>
      </c>
      <c r="X620" s="186">
        <f t="shared" si="176"/>
        <v>1943</v>
      </c>
      <c r="Y620" s="186">
        <f t="shared" si="177"/>
        <v>15544</v>
      </c>
    </row>
    <row r="621" spans="1:25" ht="24.9" customHeight="1" x14ac:dyDescent="0.25">
      <c r="A621" s="163">
        <v>15</v>
      </c>
      <c r="B621" s="151" t="s">
        <v>375</v>
      </c>
      <c r="C621" s="163">
        <v>1</v>
      </c>
      <c r="D621" s="163">
        <v>7</v>
      </c>
      <c r="E621" s="163">
        <v>1825</v>
      </c>
      <c r="F621" s="186">
        <f t="shared" si="174"/>
        <v>1825</v>
      </c>
      <c r="G621" s="186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>
        <f t="shared" si="175"/>
        <v>0</v>
      </c>
      <c r="X621" s="186">
        <f t="shared" si="176"/>
        <v>1825</v>
      </c>
      <c r="Y621" s="186">
        <f t="shared" si="177"/>
        <v>14600</v>
      </c>
    </row>
    <row r="622" spans="1:25" ht="32.25" customHeight="1" x14ac:dyDescent="0.25">
      <c r="A622" s="163">
        <v>16</v>
      </c>
      <c r="B622" s="151" t="s">
        <v>376</v>
      </c>
      <c r="C622" s="163">
        <v>1</v>
      </c>
      <c r="D622" s="163">
        <v>7</v>
      </c>
      <c r="E622" s="163">
        <v>1825</v>
      </c>
      <c r="F622" s="186">
        <f t="shared" si="174"/>
        <v>1825</v>
      </c>
      <c r="G622" s="186"/>
      <c r="H622" s="163"/>
      <c r="I622" s="59">
        <f>ROUNDUP(F622*20%,0)</f>
        <v>365</v>
      </c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>
        <f t="shared" si="175"/>
        <v>365</v>
      </c>
      <c r="X622" s="186">
        <f t="shared" si="176"/>
        <v>2190</v>
      </c>
      <c r="Y622" s="186">
        <f t="shared" si="177"/>
        <v>17520</v>
      </c>
    </row>
    <row r="623" spans="1:25" ht="33" customHeight="1" x14ac:dyDescent="0.25">
      <c r="A623" s="163">
        <v>17</v>
      </c>
      <c r="B623" s="151" t="s">
        <v>377</v>
      </c>
      <c r="C623" s="163">
        <v>1</v>
      </c>
      <c r="D623" s="163">
        <v>7</v>
      </c>
      <c r="E623" s="163">
        <v>1825</v>
      </c>
      <c r="F623" s="186">
        <f t="shared" si="174"/>
        <v>1825</v>
      </c>
      <c r="G623" s="186"/>
      <c r="H623" s="163"/>
      <c r="I623" s="59">
        <f>ROUNDUP(F623*20%,0)</f>
        <v>365</v>
      </c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>
        <f t="shared" si="175"/>
        <v>365</v>
      </c>
      <c r="X623" s="186">
        <f t="shared" si="176"/>
        <v>2190</v>
      </c>
      <c r="Y623" s="186">
        <f t="shared" si="177"/>
        <v>17520</v>
      </c>
    </row>
    <row r="624" spans="1:25" ht="34.5" customHeight="1" x14ac:dyDescent="0.25">
      <c r="A624" s="163">
        <v>18</v>
      </c>
      <c r="B624" s="151" t="s">
        <v>378</v>
      </c>
      <c r="C624" s="163">
        <v>1</v>
      </c>
      <c r="D624" s="163">
        <v>7</v>
      </c>
      <c r="E624" s="163">
        <v>1825</v>
      </c>
      <c r="F624" s="186">
        <f t="shared" si="174"/>
        <v>1825</v>
      </c>
      <c r="G624" s="186"/>
      <c r="H624" s="163"/>
      <c r="I624" s="59">
        <f>ROUNDUP(F624*20%,0)</f>
        <v>365</v>
      </c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>
        <f t="shared" si="175"/>
        <v>365</v>
      </c>
      <c r="X624" s="186">
        <f t="shared" si="176"/>
        <v>2190</v>
      </c>
      <c r="Y624" s="186">
        <f t="shared" si="177"/>
        <v>17520</v>
      </c>
    </row>
    <row r="625" spans="1:25" ht="32.25" customHeight="1" x14ac:dyDescent="0.25">
      <c r="A625" s="163">
        <v>19</v>
      </c>
      <c r="B625" s="151" t="s">
        <v>379</v>
      </c>
      <c r="C625" s="163">
        <v>1</v>
      </c>
      <c r="D625" s="163">
        <v>7</v>
      </c>
      <c r="E625" s="163">
        <v>1825</v>
      </c>
      <c r="F625" s="186">
        <f t="shared" si="174"/>
        <v>1825</v>
      </c>
      <c r="G625" s="186"/>
      <c r="H625" s="163"/>
      <c r="I625" s="59">
        <f>ROUNDUP(F625*20%,0)</f>
        <v>365</v>
      </c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>
        <f t="shared" si="175"/>
        <v>365</v>
      </c>
      <c r="X625" s="186">
        <f t="shared" si="176"/>
        <v>2190</v>
      </c>
      <c r="Y625" s="186">
        <f t="shared" si="177"/>
        <v>17520</v>
      </c>
    </row>
    <row r="626" spans="1:25" ht="27" customHeight="1" x14ac:dyDescent="0.25">
      <c r="A626" s="163">
        <v>20</v>
      </c>
      <c r="B626" s="151" t="s">
        <v>380</v>
      </c>
      <c r="C626" s="163">
        <v>1</v>
      </c>
      <c r="D626" s="163">
        <v>8</v>
      </c>
      <c r="E626" s="163">
        <v>1943</v>
      </c>
      <c r="F626" s="186">
        <f>E626*C626</f>
        <v>1943</v>
      </c>
      <c r="G626" s="186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>
        <f t="shared" si="175"/>
        <v>0</v>
      </c>
      <c r="X626" s="186">
        <f t="shared" si="176"/>
        <v>1943</v>
      </c>
      <c r="Y626" s="186">
        <f t="shared" si="177"/>
        <v>15544</v>
      </c>
    </row>
    <row r="627" spans="1:25" ht="33" customHeight="1" x14ac:dyDescent="0.25">
      <c r="A627" s="163">
        <v>21</v>
      </c>
      <c r="B627" s="151" t="s">
        <v>381</v>
      </c>
      <c r="C627" s="163">
        <v>1</v>
      </c>
      <c r="D627" s="163">
        <v>7</v>
      </c>
      <c r="E627" s="163">
        <v>1825</v>
      </c>
      <c r="F627" s="186">
        <f>E627*C627</f>
        <v>1825</v>
      </c>
      <c r="G627" s="186"/>
      <c r="H627" s="163"/>
      <c r="I627" s="59">
        <f>ROUNDUP(F627*20%,0)</f>
        <v>365</v>
      </c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>
        <f t="shared" si="175"/>
        <v>365</v>
      </c>
      <c r="X627" s="186">
        <f t="shared" si="176"/>
        <v>2190</v>
      </c>
      <c r="Y627" s="186">
        <f t="shared" si="177"/>
        <v>17520</v>
      </c>
    </row>
    <row r="628" spans="1:25" ht="32.25" customHeight="1" x14ac:dyDescent="0.25">
      <c r="A628" s="163">
        <v>22</v>
      </c>
      <c r="B628" s="151" t="s">
        <v>382</v>
      </c>
      <c r="C628" s="163">
        <v>1</v>
      </c>
      <c r="D628" s="163">
        <v>7</v>
      </c>
      <c r="E628" s="163">
        <v>1825</v>
      </c>
      <c r="F628" s="186">
        <f t="shared" si="174"/>
        <v>1825</v>
      </c>
      <c r="G628" s="186"/>
      <c r="H628" s="163"/>
      <c r="I628" s="59">
        <f>ROUNDUP(F628*20%,0)</f>
        <v>365</v>
      </c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>
        <f t="shared" si="175"/>
        <v>365</v>
      </c>
      <c r="X628" s="186">
        <f t="shared" si="176"/>
        <v>2190</v>
      </c>
      <c r="Y628" s="186">
        <f t="shared" si="177"/>
        <v>17520</v>
      </c>
    </row>
    <row r="629" spans="1:25" ht="33.75" customHeight="1" x14ac:dyDescent="0.25">
      <c r="A629" s="163">
        <v>23</v>
      </c>
      <c r="B629" s="151" t="s">
        <v>383</v>
      </c>
      <c r="C629" s="163">
        <v>1</v>
      </c>
      <c r="D629" s="163">
        <v>7</v>
      </c>
      <c r="E629" s="163">
        <v>1825</v>
      </c>
      <c r="F629" s="186">
        <f>E629*C629</f>
        <v>1825</v>
      </c>
      <c r="G629" s="186"/>
      <c r="H629" s="163"/>
      <c r="I629" s="59">
        <f>ROUNDUP(F629*20%,0)</f>
        <v>365</v>
      </c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>
        <f t="shared" si="175"/>
        <v>365</v>
      </c>
      <c r="X629" s="186">
        <f t="shared" si="176"/>
        <v>2190</v>
      </c>
      <c r="Y629" s="186">
        <f t="shared" si="177"/>
        <v>17520</v>
      </c>
    </row>
    <row r="630" spans="1:25" ht="48.75" customHeight="1" x14ac:dyDescent="0.25">
      <c r="A630" s="163">
        <v>24</v>
      </c>
      <c r="B630" s="151" t="s">
        <v>384</v>
      </c>
      <c r="C630" s="163">
        <v>1</v>
      </c>
      <c r="D630" s="163">
        <v>9</v>
      </c>
      <c r="E630" s="163">
        <v>2050</v>
      </c>
      <c r="F630" s="186">
        <f>E630*C630</f>
        <v>2050</v>
      </c>
      <c r="G630" s="186"/>
      <c r="H630" s="163"/>
      <c r="I630" s="59">
        <f>ROUNDUP(F630*20%,0)</f>
        <v>410</v>
      </c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>
        <f t="shared" si="175"/>
        <v>410</v>
      </c>
      <c r="X630" s="186">
        <f t="shared" si="176"/>
        <v>2460</v>
      </c>
      <c r="Y630" s="186">
        <f t="shared" si="177"/>
        <v>19680</v>
      </c>
    </row>
    <row r="631" spans="1:25" ht="44.25" customHeight="1" x14ac:dyDescent="0.25">
      <c r="A631" s="163">
        <v>25</v>
      </c>
      <c r="B631" s="151" t="s">
        <v>385</v>
      </c>
      <c r="C631" s="163">
        <v>1</v>
      </c>
      <c r="D631" s="163">
        <v>9</v>
      </c>
      <c r="E631" s="163">
        <v>2050</v>
      </c>
      <c r="F631" s="186">
        <f>E631*C631</f>
        <v>2050</v>
      </c>
      <c r="G631" s="186"/>
      <c r="H631" s="163"/>
      <c r="I631" s="59">
        <f t="shared" ref="I631:I640" si="178">ROUNDUP(F631*20%,0)</f>
        <v>410</v>
      </c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>
        <f t="shared" si="175"/>
        <v>410</v>
      </c>
      <c r="X631" s="186">
        <f t="shared" si="176"/>
        <v>2460</v>
      </c>
      <c r="Y631" s="186">
        <f t="shared" si="177"/>
        <v>19680</v>
      </c>
    </row>
    <row r="632" spans="1:25" ht="27" customHeight="1" x14ac:dyDescent="0.25">
      <c r="A632" s="163">
        <v>26</v>
      </c>
      <c r="B632" s="135" t="s">
        <v>386</v>
      </c>
      <c r="C632" s="163">
        <v>5</v>
      </c>
      <c r="D632" s="163">
        <v>7</v>
      </c>
      <c r="E632" s="163">
        <v>1825</v>
      </c>
      <c r="F632" s="186">
        <f t="shared" si="174"/>
        <v>9125</v>
      </c>
      <c r="G632" s="186"/>
      <c r="H632" s="163"/>
      <c r="I632" s="59">
        <f t="shared" si="178"/>
        <v>1825</v>
      </c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>
        <f t="shared" si="175"/>
        <v>1825</v>
      </c>
      <c r="X632" s="186">
        <f t="shared" si="176"/>
        <v>10950</v>
      </c>
      <c r="Y632" s="186">
        <f t="shared" si="177"/>
        <v>87600</v>
      </c>
    </row>
    <row r="633" spans="1:25" ht="27" customHeight="1" x14ac:dyDescent="0.25">
      <c r="A633" s="163">
        <v>27</v>
      </c>
      <c r="B633" s="135" t="s">
        <v>387</v>
      </c>
      <c r="C633" s="163">
        <v>1</v>
      </c>
      <c r="D633" s="163">
        <v>7</v>
      </c>
      <c r="E633" s="163">
        <v>1825</v>
      </c>
      <c r="F633" s="186">
        <f t="shared" si="174"/>
        <v>1825</v>
      </c>
      <c r="G633" s="186"/>
      <c r="H633" s="163"/>
      <c r="I633" s="59">
        <f t="shared" si="178"/>
        <v>365</v>
      </c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>
        <f t="shared" si="175"/>
        <v>365</v>
      </c>
      <c r="X633" s="186">
        <f t="shared" si="176"/>
        <v>2190</v>
      </c>
      <c r="Y633" s="186">
        <f t="shared" si="177"/>
        <v>17520</v>
      </c>
    </row>
    <row r="634" spans="1:25" ht="34.5" customHeight="1" x14ac:dyDescent="0.25">
      <c r="A634" s="163">
        <v>28</v>
      </c>
      <c r="B634" s="151" t="s">
        <v>388</v>
      </c>
      <c r="C634" s="163">
        <v>1</v>
      </c>
      <c r="D634" s="163">
        <v>7</v>
      </c>
      <c r="E634" s="163">
        <v>1825</v>
      </c>
      <c r="F634" s="186">
        <f t="shared" si="174"/>
        <v>1825</v>
      </c>
      <c r="G634" s="186"/>
      <c r="H634" s="163"/>
      <c r="I634" s="59">
        <f t="shared" si="178"/>
        <v>365</v>
      </c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>
        <f t="shared" si="175"/>
        <v>365</v>
      </c>
      <c r="X634" s="186">
        <f t="shared" si="176"/>
        <v>2190</v>
      </c>
      <c r="Y634" s="186">
        <f t="shared" si="177"/>
        <v>17520</v>
      </c>
    </row>
    <row r="635" spans="1:25" ht="27" customHeight="1" x14ac:dyDescent="0.25">
      <c r="A635" s="163">
        <v>29</v>
      </c>
      <c r="B635" s="151" t="s">
        <v>389</v>
      </c>
      <c r="C635" s="163">
        <v>1</v>
      </c>
      <c r="D635" s="163">
        <v>7</v>
      </c>
      <c r="E635" s="163">
        <v>1825</v>
      </c>
      <c r="F635" s="186">
        <f t="shared" si="174"/>
        <v>1825</v>
      </c>
      <c r="G635" s="186"/>
      <c r="H635" s="163"/>
      <c r="I635" s="59">
        <f t="shared" si="178"/>
        <v>365</v>
      </c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>
        <f t="shared" si="175"/>
        <v>365</v>
      </c>
      <c r="X635" s="186">
        <f t="shared" si="176"/>
        <v>2190</v>
      </c>
      <c r="Y635" s="186">
        <f t="shared" si="177"/>
        <v>17520</v>
      </c>
    </row>
    <row r="636" spans="1:25" ht="41.25" customHeight="1" x14ac:dyDescent="0.25">
      <c r="A636" s="163">
        <v>30</v>
      </c>
      <c r="B636" s="151" t="s">
        <v>390</v>
      </c>
      <c r="C636" s="163">
        <v>1</v>
      </c>
      <c r="D636" s="163">
        <v>7</v>
      </c>
      <c r="E636" s="163">
        <v>1825</v>
      </c>
      <c r="F636" s="186">
        <f>E636*C636</f>
        <v>1825</v>
      </c>
      <c r="G636" s="186"/>
      <c r="H636" s="163"/>
      <c r="I636" s="59">
        <f>ROUNDUP(F636*20%,0)</f>
        <v>365</v>
      </c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>
        <f t="shared" si="175"/>
        <v>365</v>
      </c>
      <c r="X636" s="186">
        <f t="shared" si="176"/>
        <v>2190</v>
      </c>
      <c r="Y636" s="186">
        <f t="shared" si="177"/>
        <v>17520</v>
      </c>
    </row>
    <row r="637" spans="1:25" ht="27" customHeight="1" x14ac:dyDescent="0.25">
      <c r="A637" s="163">
        <v>31</v>
      </c>
      <c r="B637" s="151" t="s">
        <v>391</v>
      </c>
      <c r="C637" s="163">
        <v>1</v>
      </c>
      <c r="D637" s="163">
        <v>7</v>
      </c>
      <c r="E637" s="163">
        <v>1825</v>
      </c>
      <c r="F637" s="186">
        <f>E637*C637</f>
        <v>1825</v>
      </c>
      <c r="G637" s="186"/>
      <c r="H637" s="163"/>
      <c r="I637" s="59">
        <f>ROUNDUP(F637*20%,0)</f>
        <v>365</v>
      </c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>
        <f t="shared" si="175"/>
        <v>365</v>
      </c>
      <c r="X637" s="186">
        <f t="shared" si="176"/>
        <v>2190</v>
      </c>
      <c r="Y637" s="186">
        <f t="shared" si="177"/>
        <v>17520</v>
      </c>
    </row>
    <row r="638" spans="1:25" ht="27" customHeight="1" x14ac:dyDescent="0.25">
      <c r="A638" s="163">
        <v>32</v>
      </c>
      <c r="B638" s="151" t="s">
        <v>392</v>
      </c>
      <c r="C638" s="163">
        <v>1</v>
      </c>
      <c r="D638" s="163">
        <v>7</v>
      </c>
      <c r="E638" s="163">
        <v>1825</v>
      </c>
      <c r="F638" s="186">
        <f>E638*C638</f>
        <v>1825</v>
      </c>
      <c r="G638" s="186"/>
      <c r="H638" s="163"/>
      <c r="I638" s="59">
        <f>ROUNDUP(F638*20%,0)</f>
        <v>365</v>
      </c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>
        <f t="shared" si="175"/>
        <v>365</v>
      </c>
      <c r="X638" s="186">
        <f t="shared" si="176"/>
        <v>2190</v>
      </c>
      <c r="Y638" s="186">
        <f t="shared" si="177"/>
        <v>17520</v>
      </c>
    </row>
    <row r="639" spans="1:25" ht="24.9" customHeight="1" x14ac:dyDescent="0.25">
      <c r="A639" s="163">
        <v>33</v>
      </c>
      <c r="B639" s="135" t="s">
        <v>393</v>
      </c>
      <c r="C639" s="163">
        <v>1</v>
      </c>
      <c r="D639" s="163">
        <v>9</v>
      </c>
      <c r="E639" s="163">
        <v>2050</v>
      </c>
      <c r="F639" s="186">
        <f t="shared" si="174"/>
        <v>2050</v>
      </c>
      <c r="G639" s="186"/>
      <c r="H639" s="163"/>
      <c r="I639" s="59">
        <f t="shared" si="178"/>
        <v>410</v>
      </c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>
        <f t="shared" si="175"/>
        <v>410</v>
      </c>
      <c r="X639" s="186">
        <f t="shared" si="176"/>
        <v>2460</v>
      </c>
      <c r="Y639" s="186">
        <f t="shared" si="177"/>
        <v>19680</v>
      </c>
    </row>
    <row r="640" spans="1:25" ht="24.9" customHeight="1" x14ac:dyDescent="0.25">
      <c r="A640" s="163">
        <v>34</v>
      </c>
      <c r="B640" s="135" t="s">
        <v>394</v>
      </c>
      <c r="C640" s="163">
        <v>2</v>
      </c>
      <c r="D640" s="163">
        <v>8</v>
      </c>
      <c r="E640" s="163">
        <v>1943</v>
      </c>
      <c r="F640" s="186">
        <f t="shared" si="174"/>
        <v>3886</v>
      </c>
      <c r="G640" s="186"/>
      <c r="H640" s="163"/>
      <c r="I640" s="59">
        <f t="shared" si="178"/>
        <v>778</v>
      </c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>
        <f t="shared" si="175"/>
        <v>778</v>
      </c>
      <c r="X640" s="186">
        <f t="shared" si="176"/>
        <v>4664</v>
      </c>
      <c r="Y640" s="186">
        <f t="shared" si="177"/>
        <v>37312</v>
      </c>
    </row>
    <row r="641" spans="1:29" ht="30" customHeight="1" x14ac:dyDescent="0.25">
      <c r="A641" s="163">
        <v>35</v>
      </c>
      <c r="B641" s="151" t="s">
        <v>395</v>
      </c>
      <c r="C641" s="163">
        <v>1</v>
      </c>
      <c r="D641" s="163">
        <v>8</v>
      </c>
      <c r="E641" s="163">
        <v>1943</v>
      </c>
      <c r="F641" s="186">
        <f t="shared" si="174"/>
        <v>1943</v>
      </c>
      <c r="G641" s="186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>
        <f t="shared" si="175"/>
        <v>0</v>
      </c>
      <c r="X641" s="186">
        <f t="shared" si="176"/>
        <v>1943</v>
      </c>
      <c r="Y641" s="186">
        <f t="shared" si="177"/>
        <v>15544</v>
      </c>
    </row>
    <row r="642" spans="1:29" ht="24.9" customHeight="1" x14ac:dyDescent="0.25">
      <c r="A642" s="163"/>
      <c r="B642" s="135"/>
      <c r="C642" s="189">
        <f>SUM(C607:C641)</f>
        <v>50</v>
      </c>
      <c r="D642" s="134"/>
      <c r="E642" s="163"/>
      <c r="F642" s="171">
        <f t="shared" ref="F642:W642" si="179">SUM(F607:F641)</f>
        <v>88809</v>
      </c>
      <c r="G642" s="171"/>
      <c r="H642" s="163">
        <f t="shared" si="179"/>
        <v>0</v>
      </c>
      <c r="I642" s="163">
        <f t="shared" si="179"/>
        <v>9377</v>
      </c>
      <c r="J642" s="163">
        <f t="shared" si="179"/>
        <v>0</v>
      </c>
      <c r="K642" s="163">
        <f t="shared" si="179"/>
        <v>0</v>
      </c>
      <c r="L642" s="163">
        <f t="shared" si="179"/>
        <v>0</v>
      </c>
      <c r="M642" s="163">
        <f t="shared" si="179"/>
        <v>0</v>
      </c>
      <c r="N642" s="163">
        <f t="shared" si="179"/>
        <v>0</v>
      </c>
      <c r="O642" s="163">
        <f t="shared" si="179"/>
        <v>0</v>
      </c>
      <c r="P642" s="163">
        <f t="shared" si="179"/>
        <v>0</v>
      </c>
      <c r="Q642" s="163">
        <f t="shared" si="179"/>
        <v>0</v>
      </c>
      <c r="R642" s="163">
        <f t="shared" si="179"/>
        <v>0</v>
      </c>
      <c r="S642" s="163">
        <f t="shared" si="179"/>
        <v>0</v>
      </c>
      <c r="T642" s="163">
        <f t="shared" si="179"/>
        <v>913</v>
      </c>
      <c r="U642" s="163">
        <f t="shared" si="179"/>
        <v>0</v>
      </c>
      <c r="V642" s="163">
        <f t="shared" si="179"/>
        <v>0</v>
      </c>
      <c r="W642" s="163">
        <f t="shared" si="179"/>
        <v>10290</v>
      </c>
      <c r="X642" s="171">
        <f>SUM(X607:X641)</f>
        <v>99099</v>
      </c>
      <c r="Y642" s="171">
        <f>SUM(Y607:Y641)</f>
        <v>792792</v>
      </c>
    </row>
    <row r="643" spans="1:29" ht="18.75" customHeight="1" x14ac:dyDescent="0.25">
      <c r="A643" s="230" t="s">
        <v>396</v>
      </c>
      <c r="B643" s="231"/>
      <c r="C643" s="231"/>
      <c r="D643" s="231"/>
      <c r="E643" s="231"/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2"/>
    </row>
    <row r="644" spans="1:29" ht="18.75" customHeight="1" x14ac:dyDescent="0.25">
      <c r="A644" s="134">
        <v>1</v>
      </c>
      <c r="B644" s="164" t="s">
        <v>397</v>
      </c>
      <c r="C644" s="163">
        <v>1</v>
      </c>
      <c r="D644" s="163">
        <v>12</v>
      </c>
      <c r="E644" s="134">
        <v>2512</v>
      </c>
      <c r="F644" s="183">
        <f>E644*C644</f>
        <v>2512</v>
      </c>
      <c r="G644" s="183"/>
      <c r="H644" s="139"/>
      <c r="I644" s="13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>
        <f>SUM(H644:V644)</f>
        <v>0</v>
      </c>
      <c r="X644" s="138">
        <f>C644*E644+W644</f>
        <v>2512</v>
      </c>
      <c r="Y644" s="186">
        <f>X644*8</f>
        <v>20096</v>
      </c>
    </row>
    <row r="645" spans="1:29" ht="19.5" customHeight="1" x14ac:dyDescent="0.25">
      <c r="A645" s="279">
        <v>2</v>
      </c>
      <c r="B645" s="135" t="s">
        <v>398</v>
      </c>
      <c r="C645" s="134">
        <v>0.75</v>
      </c>
      <c r="D645" s="134">
        <v>9</v>
      </c>
      <c r="E645" s="134">
        <v>2050</v>
      </c>
      <c r="F645" s="186">
        <f>E645*C645</f>
        <v>1537.5</v>
      </c>
      <c r="G645" s="186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63">
        <f>SUM(H645:V645)</f>
        <v>0</v>
      </c>
      <c r="X645" s="183">
        <f>C645*E645+W645</f>
        <v>1537.5</v>
      </c>
      <c r="Y645" s="186">
        <f>X645*8</f>
        <v>12300</v>
      </c>
    </row>
    <row r="646" spans="1:29" ht="18.75" customHeight="1" x14ac:dyDescent="0.25">
      <c r="A646" s="134">
        <v>3</v>
      </c>
      <c r="B646" s="135" t="s">
        <v>399</v>
      </c>
      <c r="C646" s="134">
        <v>4</v>
      </c>
      <c r="D646" s="134">
        <v>8</v>
      </c>
      <c r="E646" s="163">
        <v>1943</v>
      </c>
      <c r="F646" s="186">
        <f>E646*C646</f>
        <v>7772</v>
      </c>
      <c r="G646" s="186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>
        <f>SUM(H646:V646)</f>
        <v>0</v>
      </c>
      <c r="X646" s="183">
        <f>C646*E646+W646</f>
        <v>7772</v>
      </c>
      <c r="Y646" s="186">
        <f>X646*8</f>
        <v>62176</v>
      </c>
    </row>
    <row r="647" spans="1:29" ht="19.5" customHeight="1" x14ac:dyDescent="0.25">
      <c r="A647" s="134"/>
      <c r="B647" s="135"/>
      <c r="C647" s="189">
        <f>SUM(C644:C646)</f>
        <v>5.75</v>
      </c>
      <c r="D647" s="189"/>
      <c r="E647" s="189"/>
      <c r="F647" s="190">
        <f>SUM(F644:F646)</f>
        <v>11821.5</v>
      </c>
      <c r="G647" s="190"/>
      <c r="H647" s="190">
        <f t="shared" ref="H647:W647" si="180">SUM(H644:H646)</f>
        <v>0</v>
      </c>
      <c r="I647" s="190">
        <f t="shared" si="180"/>
        <v>0</v>
      </c>
      <c r="J647" s="190">
        <f t="shared" si="180"/>
        <v>0</v>
      </c>
      <c r="K647" s="190">
        <f t="shared" si="180"/>
        <v>0</v>
      </c>
      <c r="L647" s="190">
        <f t="shared" si="180"/>
        <v>0</v>
      </c>
      <c r="M647" s="190">
        <f t="shared" si="180"/>
        <v>0</v>
      </c>
      <c r="N647" s="190">
        <f t="shared" si="180"/>
        <v>0</v>
      </c>
      <c r="O647" s="190">
        <f t="shared" si="180"/>
        <v>0</v>
      </c>
      <c r="P647" s="190">
        <f t="shared" si="180"/>
        <v>0</v>
      </c>
      <c r="Q647" s="190">
        <f t="shared" si="180"/>
        <v>0</v>
      </c>
      <c r="R647" s="190">
        <f t="shared" si="180"/>
        <v>0</v>
      </c>
      <c r="S647" s="190">
        <f t="shared" si="180"/>
        <v>0</v>
      </c>
      <c r="T647" s="190">
        <f t="shared" si="180"/>
        <v>0</v>
      </c>
      <c r="U647" s="190">
        <f t="shared" si="180"/>
        <v>0</v>
      </c>
      <c r="V647" s="190">
        <f t="shared" si="180"/>
        <v>0</v>
      </c>
      <c r="W647" s="190">
        <f t="shared" si="180"/>
        <v>0</v>
      </c>
      <c r="X647" s="190">
        <f>SUM(X644:X646)</f>
        <v>11821.5</v>
      </c>
      <c r="Y647" s="190">
        <f>SUM(Y644:Y646)</f>
        <v>94572</v>
      </c>
    </row>
    <row r="648" spans="1:29" ht="17.25" customHeight="1" x14ac:dyDescent="0.25">
      <c r="A648" s="230" t="s">
        <v>400</v>
      </c>
      <c r="B648" s="231"/>
      <c r="C648" s="231"/>
      <c r="D648" s="231"/>
      <c r="E648" s="231"/>
      <c r="F648" s="231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  <c r="R648" s="231"/>
      <c r="S648" s="231"/>
      <c r="T648" s="231"/>
      <c r="U648" s="231"/>
      <c r="V648" s="231"/>
      <c r="W648" s="231"/>
      <c r="X648" s="231"/>
      <c r="Y648" s="232"/>
    </row>
    <row r="649" spans="1:29" ht="17.25" customHeight="1" x14ac:dyDescent="0.25">
      <c r="A649" s="187">
        <v>1</v>
      </c>
      <c r="B649" s="164" t="s">
        <v>401</v>
      </c>
      <c r="C649" s="134">
        <v>1</v>
      </c>
      <c r="D649" s="163">
        <v>10</v>
      </c>
      <c r="E649" s="163">
        <v>2157</v>
      </c>
      <c r="F649" s="186">
        <f>E649*C649</f>
        <v>2157</v>
      </c>
      <c r="G649" s="186"/>
      <c r="H649" s="163"/>
      <c r="I649" s="59">
        <f>ROUNDUP(F649*20%,0)</f>
        <v>432</v>
      </c>
      <c r="J649" s="163"/>
      <c r="K649" s="163"/>
      <c r="L649" s="163"/>
      <c r="M649" s="163"/>
      <c r="N649" s="163">
        <f>ROUNDUP(F649*30%,0)</f>
        <v>648</v>
      </c>
      <c r="O649" s="163"/>
      <c r="P649" s="163"/>
      <c r="Q649" s="163"/>
      <c r="R649" s="163"/>
      <c r="S649" s="163"/>
      <c r="T649" s="163"/>
      <c r="U649" s="163"/>
      <c r="V649" s="163"/>
      <c r="W649" s="163">
        <f>SUM(H649:V649)</f>
        <v>1080</v>
      </c>
      <c r="X649" s="183">
        <f>C649*E649+W649</f>
        <v>3237</v>
      </c>
      <c r="Y649" s="186">
        <f>X649*8</f>
        <v>25896</v>
      </c>
    </row>
    <row r="650" spans="1:29" ht="17.25" customHeight="1" x14ac:dyDescent="0.25">
      <c r="A650" s="187">
        <v>2</v>
      </c>
      <c r="B650" s="135" t="s">
        <v>402</v>
      </c>
      <c r="C650" s="134">
        <v>1</v>
      </c>
      <c r="D650" s="134">
        <v>9</v>
      </c>
      <c r="E650" s="134">
        <v>2050</v>
      </c>
      <c r="F650" s="186">
        <f>E650*C650</f>
        <v>2050</v>
      </c>
      <c r="G650" s="186"/>
      <c r="H650" s="163"/>
      <c r="I650" s="59">
        <f>ROUNDUP(F650*20%,0)</f>
        <v>410</v>
      </c>
      <c r="J650" s="163"/>
      <c r="K650" s="163"/>
      <c r="L650" s="163"/>
      <c r="M650" s="163"/>
      <c r="N650" s="163">
        <f>ROUNDUP(F650*30%,0)</f>
        <v>615</v>
      </c>
      <c r="O650" s="163"/>
      <c r="P650" s="163"/>
      <c r="Q650" s="163"/>
      <c r="R650" s="163"/>
      <c r="S650" s="163"/>
      <c r="T650" s="163"/>
      <c r="U650" s="163"/>
      <c r="V650" s="163"/>
      <c r="W650" s="163">
        <f>SUM(H650:V650)</f>
        <v>1025</v>
      </c>
      <c r="X650" s="183">
        <f>C650*E650+W650</f>
        <v>3075</v>
      </c>
      <c r="Y650" s="186">
        <f>X650*8</f>
        <v>24600</v>
      </c>
    </row>
    <row r="651" spans="1:29" ht="21" customHeight="1" x14ac:dyDescent="0.25">
      <c r="A651" s="187">
        <v>3</v>
      </c>
      <c r="B651" s="135" t="s">
        <v>403</v>
      </c>
      <c r="C651" s="137">
        <f>1.75-1</f>
        <v>0.75</v>
      </c>
      <c r="D651" s="134">
        <v>8</v>
      </c>
      <c r="E651" s="163">
        <v>1943</v>
      </c>
      <c r="F651" s="186">
        <f>E651*C651</f>
        <v>1457.25</v>
      </c>
      <c r="G651" s="186"/>
      <c r="H651" s="163"/>
      <c r="I651" s="59">
        <f>ROUNDUP(F651*20%,0)</f>
        <v>292</v>
      </c>
      <c r="J651" s="163"/>
      <c r="K651" s="163"/>
      <c r="L651" s="163"/>
      <c r="M651" s="163"/>
      <c r="N651" s="163">
        <f>ROUNDUP(F651*30%,0)</f>
        <v>438</v>
      </c>
      <c r="O651" s="163"/>
      <c r="P651" s="163"/>
      <c r="Q651" s="163"/>
      <c r="R651" s="163"/>
      <c r="S651" s="163"/>
      <c r="T651" s="163"/>
      <c r="U651" s="163"/>
      <c r="V651" s="163"/>
      <c r="W651" s="163">
        <f>SUM(H651:V651)</f>
        <v>730</v>
      </c>
      <c r="X651" s="183">
        <f>C651*E651+W651</f>
        <v>2187.25</v>
      </c>
      <c r="Y651" s="186">
        <f>X651*8</f>
        <v>17498</v>
      </c>
    </row>
    <row r="652" spans="1:29" ht="24.9" customHeight="1" x14ac:dyDescent="0.25">
      <c r="A652" s="134"/>
      <c r="B652" s="135"/>
      <c r="C652" s="189">
        <f>SUM(C649:C651)</f>
        <v>2.75</v>
      </c>
      <c r="D652" s="189"/>
      <c r="E652" s="163"/>
      <c r="F652" s="171">
        <f>SUM(F649:F651)</f>
        <v>5664.25</v>
      </c>
      <c r="G652" s="171"/>
      <c r="H652" s="172">
        <f t="shared" ref="H652:Y652" si="181">SUM(H649:H651)</f>
        <v>0</v>
      </c>
      <c r="I652" s="172">
        <f t="shared" si="181"/>
        <v>1134</v>
      </c>
      <c r="J652" s="172">
        <f t="shared" si="181"/>
        <v>0</v>
      </c>
      <c r="K652" s="172">
        <f t="shared" si="181"/>
        <v>0</v>
      </c>
      <c r="L652" s="172">
        <f t="shared" si="181"/>
        <v>0</v>
      </c>
      <c r="M652" s="172">
        <f t="shared" si="181"/>
        <v>0</v>
      </c>
      <c r="N652" s="172">
        <f t="shared" si="181"/>
        <v>1701</v>
      </c>
      <c r="O652" s="172">
        <f t="shared" si="181"/>
        <v>0</v>
      </c>
      <c r="P652" s="172">
        <f t="shared" si="181"/>
        <v>0</v>
      </c>
      <c r="Q652" s="172">
        <f t="shared" si="181"/>
        <v>0</v>
      </c>
      <c r="R652" s="172">
        <f t="shared" si="181"/>
        <v>0</v>
      </c>
      <c r="S652" s="172">
        <f t="shared" si="181"/>
        <v>0</v>
      </c>
      <c r="T652" s="172">
        <f t="shared" si="181"/>
        <v>0</v>
      </c>
      <c r="U652" s="172">
        <f t="shared" si="181"/>
        <v>0</v>
      </c>
      <c r="V652" s="172">
        <f t="shared" si="181"/>
        <v>0</v>
      </c>
      <c r="W652" s="172">
        <f t="shared" si="181"/>
        <v>2835</v>
      </c>
      <c r="X652" s="171">
        <f t="shared" si="181"/>
        <v>8499.25</v>
      </c>
      <c r="Y652" s="171">
        <f t="shared" si="181"/>
        <v>67994</v>
      </c>
      <c r="Z652" s="171">
        <f>SUM(Z649:Z651)</f>
        <v>0</v>
      </c>
      <c r="AA652" s="171">
        <f>SUM(AA649:AA651)</f>
        <v>0</v>
      </c>
      <c r="AB652" s="171">
        <f>SUM(AB649:AB651)</f>
        <v>0</v>
      </c>
      <c r="AC652" s="171">
        <f>SUM(AC649:AC651)</f>
        <v>0</v>
      </c>
    </row>
    <row r="653" spans="1:29" ht="15.75" customHeight="1" x14ac:dyDescent="0.25">
      <c r="A653" s="230" t="s">
        <v>404</v>
      </c>
      <c r="B653" s="231"/>
      <c r="C653" s="231"/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  <c r="R653" s="231"/>
      <c r="S653" s="231"/>
      <c r="T653" s="231"/>
      <c r="U653" s="231"/>
      <c r="V653" s="231"/>
      <c r="W653" s="231"/>
      <c r="X653" s="231"/>
      <c r="Y653" s="232"/>
    </row>
    <row r="654" spans="1:29" ht="29.25" customHeight="1" x14ac:dyDescent="0.25">
      <c r="A654" s="134">
        <v>1</v>
      </c>
      <c r="B654" s="135" t="s">
        <v>126</v>
      </c>
      <c r="C654" s="134">
        <v>0.25</v>
      </c>
      <c r="D654" s="134">
        <v>5</v>
      </c>
      <c r="E654" s="163">
        <v>1612</v>
      </c>
      <c r="F654" s="186">
        <f>E654*C654</f>
        <v>403</v>
      </c>
      <c r="G654" s="186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>
        <f>SUM(H654:V654)</f>
        <v>0</v>
      </c>
      <c r="X654" s="183">
        <f>C654*E654+W654</f>
        <v>403</v>
      </c>
      <c r="Y654" s="186">
        <f>X654*8</f>
        <v>3224</v>
      </c>
    </row>
    <row r="655" spans="1:29" ht="30.75" customHeight="1" x14ac:dyDescent="0.25">
      <c r="A655" s="187">
        <v>2</v>
      </c>
      <c r="B655" s="164" t="s">
        <v>401</v>
      </c>
      <c r="C655" s="134">
        <v>1</v>
      </c>
      <c r="D655" s="163">
        <v>10</v>
      </c>
      <c r="E655" s="163">
        <v>2157</v>
      </c>
      <c r="F655" s="186">
        <f>E655*C655</f>
        <v>2157</v>
      </c>
      <c r="G655" s="186"/>
      <c r="H655" s="163"/>
      <c r="I655" s="59">
        <f>ROUNDUP(F655*20%,0)</f>
        <v>432</v>
      </c>
      <c r="J655" s="163"/>
      <c r="K655" s="163"/>
      <c r="L655" s="163"/>
      <c r="M655" s="163"/>
      <c r="N655" s="163">
        <f>ROUNDUP(F655*30%,0)</f>
        <v>648</v>
      </c>
      <c r="O655" s="163"/>
      <c r="P655" s="163"/>
      <c r="Q655" s="163"/>
      <c r="R655" s="163"/>
      <c r="S655" s="163"/>
      <c r="T655" s="163"/>
      <c r="U655" s="163"/>
      <c r="V655" s="163"/>
      <c r="W655" s="163">
        <f>SUM(H655:V655)</f>
        <v>1080</v>
      </c>
      <c r="X655" s="183">
        <f>C655*E655+W655</f>
        <v>3237</v>
      </c>
      <c r="Y655" s="186">
        <f>X655*8</f>
        <v>25896</v>
      </c>
    </row>
    <row r="656" spans="1:29" ht="26.25" customHeight="1" x14ac:dyDescent="0.25">
      <c r="A656" s="134"/>
      <c r="B656" s="135"/>
      <c r="C656" s="189">
        <f>SUM(C654:C655)</f>
        <v>1.25</v>
      </c>
      <c r="D656" s="189"/>
      <c r="E656" s="163"/>
      <c r="F656" s="171">
        <f t="shared" ref="F656:Y656" si="182">SUM(F654:F655)</f>
        <v>2560</v>
      </c>
      <c r="G656" s="171"/>
      <c r="H656" s="249">
        <f t="shared" si="182"/>
        <v>0</v>
      </c>
      <c r="I656" s="249">
        <f t="shared" si="182"/>
        <v>432</v>
      </c>
      <c r="J656" s="249">
        <f t="shared" si="182"/>
        <v>0</v>
      </c>
      <c r="K656" s="249">
        <f t="shared" si="182"/>
        <v>0</v>
      </c>
      <c r="L656" s="249">
        <f t="shared" si="182"/>
        <v>0</v>
      </c>
      <c r="M656" s="249">
        <f t="shared" si="182"/>
        <v>0</v>
      </c>
      <c r="N656" s="249">
        <f t="shared" si="182"/>
        <v>648</v>
      </c>
      <c r="O656" s="249">
        <f t="shared" si="182"/>
        <v>0</v>
      </c>
      <c r="P656" s="249">
        <f t="shared" si="182"/>
        <v>0</v>
      </c>
      <c r="Q656" s="249">
        <f t="shared" si="182"/>
        <v>0</v>
      </c>
      <c r="R656" s="249">
        <f t="shared" si="182"/>
        <v>0</v>
      </c>
      <c r="S656" s="249">
        <f t="shared" si="182"/>
        <v>0</v>
      </c>
      <c r="T656" s="249">
        <f t="shared" si="182"/>
        <v>0</v>
      </c>
      <c r="U656" s="249">
        <f t="shared" si="182"/>
        <v>0</v>
      </c>
      <c r="V656" s="249">
        <f t="shared" si="182"/>
        <v>0</v>
      </c>
      <c r="W656" s="163">
        <f t="shared" si="182"/>
        <v>1080</v>
      </c>
      <c r="X656" s="171">
        <f t="shared" si="182"/>
        <v>3640</v>
      </c>
      <c r="Y656" s="171">
        <f t="shared" si="182"/>
        <v>29120</v>
      </c>
    </row>
    <row r="657" spans="1:25" ht="33" customHeight="1" x14ac:dyDescent="0.25">
      <c r="A657" s="230" t="s">
        <v>228</v>
      </c>
      <c r="B657" s="231"/>
      <c r="C657" s="231"/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2"/>
    </row>
    <row r="658" spans="1:25" ht="26.4" customHeight="1" x14ac:dyDescent="0.25">
      <c r="A658" s="134">
        <v>1</v>
      </c>
      <c r="B658" s="164" t="s">
        <v>233</v>
      </c>
      <c r="C658" s="166">
        <v>3</v>
      </c>
      <c r="D658" s="166">
        <v>12</v>
      </c>
      <c r="E658" s="137">
        <v>2512</v>
      </c>
      <c r="F658" s="138">
        <f t="shared" ref="F658:F664" si="183">E658*C658</f>
        <v>7536</v>
      </c>
      <c r="G658" s="138"/>
      <c r="H658" s="167">
        <f t="shared" ref="H658:H664" si="184">ROUNDUP(F658*50%,0)</f>
        <v>3768</v>
      </c>
      <c r="I658" s="167"/>
      <c r="J658" s="59"/>
      <c r="K658" s="59"/>
      <c r="L658" s="59"/>
      <c r="M658" s="59"/>
      <c r="N658" s="167">
        <f>ROUNDUP(F658*30%,0)</f>
        <v>2261</v>
      </c>
      <c r="O658" s="59"/>
      <c r="P658" s="59"/>
      <c r="Q658" s="59"/>
      <c r="R658" s="59"/>
      <c r="S658" s="59"/>
      <c r="T658" s="59"/>
      <c r="U658" s="59"/>
      <c r="V658" s="59"/>
      <c r="W658" s="59">
        <f t="shared" ref="W658:W665" si="185">SUM(H658:V658)</f>
        <v>6029</v>
      </c>
      <c r="X658" s="138">
        <f t="shared" ref="X658:X665" si="186">C658*E658+W658</f>
        <v>13565</v>
      </c>
      <c r="Y658" s="186">
        <f>X658*8</f>
        <v>108520</v>
      </c>
    </row>
    <row r="659" spans="1:25" ht="26.4" customHeight="1" x14ac:dyDescent="0.25">
      <c r="A659" s="134">
        <v>2</v>
      </c>
      <c r="B659" s="164" t="s">
        <v>232</v>
      </c>
      <c r="C659" s="166">
        <v>1</v>
      </c>
      <c r="D659" s="166">
        <v>13</v>
      </c>
      <c r="E659" s="137">
        <v>2690</v>
      </c>
      <c r="F659" s="138">
        <f t="shared" si="183"/>
        <v>2690</v>
      </c>
      <c r="G659" s="138"/>
      <c r="H659" s="167">
        <f t="shared" si="184"/>
        <v>1345</v>
      </c>
      <c r="I659" s="167"/>
      <c r="J659" s="59"/>
      <c r="K659" s="59"/>
      <c r="L659" s="59"/>
      <c r="M659" s="59"/>
      <c r="N659" s="167">
        <f t="shared" ref="N659:N664" si="187">ROUNDUP(F659*30%,0)</f>
        <v>807</v>
      </c>
      <c r="O659" s="59"/>
      <c r="P659" s="59"/>
      <c r="Q659" s="59"/>
      <c r="R659" s="59"/>
      <c r="S659" s="59"/>
      <c r="T659" s="59"/>
      <c r="U659" s="59"/>
      <c r="V659" s="59"/>
      <c r="W659" s="59">
        <f t="shared" si="185"/>
        <v>2152</v>
      </c>
      <c r="X659" s="138">
        <f t="shared" si="186"/>
        <v>4842</v>
      </c>
      <c r="Y659" s="186">
        <f t="shared" ref="Y659:Y665" si="188">X659*8</f>
        <v>38736</v>
      </c>
    </row>
    <row r="660" spans="1:25" ht="26.4" customHeight="1" x14ac:dyDescent="0.25">
      <c r="A660" s="134">
        <v>3</v>
      </c>
      <c r="B660" s="135" t="s">
        <v>402</v>
      </c>
      <c r="C660" s="166">
        <v>1</v>
      </c>
      <c r="D660" s="166">
        <v>9</v>
      </c>
      <c r="E660" s="137">
        <v>2050</v>
      </c>
      <c r="F660" s="138">
        <f t="shared" si="183"/>
        <v>2050</v>
      </c>
      <c r="G660" s="138"/>
      <c r="H660" s="167">
        <f t="shared" si="184"/>
        <v>1025</v>
      </c>
      <c r="I660" s="167"/>
      <c r="J660" s="59"/>
      <c r="K660" s="59"/>
      <c r="L660" s="59"/>
      <c r="M660" s="59"/>
      <c r="N660" s="167">
        <f t="shared" si="187"/>
        <v>615</v>
      </c>
      <c r="O660" s="59"/>
      <c r="P660" s="59"/>
      <c r="Q660" s="59"/>
      <c r="R660" s="59"/>
      <c r="S660" s="59"/>
      <c r="T660" s="59"/>
      <c r="U660" s="59"/>
      <c r="V660" s="59"/>
      <c r="W660" s="59">
        <f t="shared" si="185"/>
        <v>1640</v>
      </c>
      <c r="X660" s="138">
        <f t="shared" si="186"/>
        <v>3690</v>
      </c>
      <c r="Y660" s="186">
        <f t="shared" si="188"/>
        <v>29520</v>
      </c>
    </row>
    <row r="661" spans="1:25" ht="26.4" customHeight="1" x14ac:dyDescent="0.25">
      <c r="A661" s="134">
        <v>4</v>
      </c>
      <c r="B661" s="164" t="s">
        <v>234</v>
      </c>
      <c r="C661" s="166">
        <v>1</v>
      </c>
      <c r="D661" s="166">
        <v>12</v>
      </c>
      <c r="E661" s="137">
        <v>2512</v>
      </c>
      <c r="F661" s="138">
        <f t="shared" si="183"/>
        <v>2512</v>
      </c>
      <c r="G661" s="138"/>
      <c r="H661" s="167">
        <f t="shared" si="184"/>
        <v>1256</v>
      </c>
      <c r="I661" s="167"/>
      <c r="J661" s="59"/>
      <c r="K661" s="59"/>
      <c r="L661" s="59"/>
      <c r="M661" s="59"/>
      <c r="N661" s="167">
        <f t="shared" si="187"/>
        <v>754</v>
      </c>
      <c r="O661" s="59"/>
      <c r="P661" s="59"/>
      <c r="Q661" s="59"/>
      <c r="R661" s="59"/>
      <c r="S661" s="59"/>
      <c r="T661" s="59"/>
      <c r="U661" s="59"/>
      <c r="V661" s="59"/>
      <c r="W661" s="59">
        <f t="shared" si="185"/>
        <v>2010</v>
      </c>
      <c r="X661" s="138">
        <f t="shared" si="186"/>
        <v>4522</v>
      </c>
      <c r="Y661" s="186">
        <f t="shared" si="188"/>
        <v>36176</v>
      </c>
    </row>
    <row r="662" spans="1:25" ht="26.4" customHeight="1" x14ac:dyDescent="0.25">
      <c r="A662" s="134">
        <v>5</v>
      </c>
      <c r="B662" s="164" t="s">
        <v>236</v>
      </c>
      <c r="C662" s="166">
        <f>4-0.5</f>
        <v>3.5</v>
      </c>
      <c r="D662" s="166">
        <v>10</v>
      </c>
      <c r="E662" s="137">
        <v>2157</v>
      </c>
      <c r="F662" s="138">
        <f t="shared" si="183"/>
        <v>7549.5</v>
      </c>
      <c r="G662" s="138"/>
      <c r="H662" s="167">
        <f t="shared" si="184"/>
        <v>3775</v>
      </c>
      <c r="I662" s="167"/>
      <c r="J662" s="59"/>
      <c r="K662" s="59"/>
      <c r="L662" s="59"/>
      <c r="M662" s="59"/>
      <c r="N662" s="167">
        <f t="shared" si="187"/>
        <v>2265</v>
      </c>
      <c r="O662" s="59"/>
      <c r="P662" s="59"/>
      <c r="Q662" s="59"/>
      <c r="R662" s="59"/>
      <c r="S662" s="59"/>
      <c r="T662" s="59"/>
      <c r="U662" s="59"/>
      <c r="V662" s="59"/>
      <c r="W662" s="59">
        <f t="shared" si="185"/>
        <v>6040</v>
      </c>
      <c r="X662" s="138">
        <f t="shared" si="186"/>
        <v>13589.5</v>
      </c>
      <c r="Y662" s="186">
        <f t="shared" si="188"/>
        <v>108716</v>
      </c>
    </row>
    <row r="663" spans="1:25" ht="26.4" customHeight="1" x14ac:dyDescent="0.25">
      <c r="A663" s="134">
        <v>6</v>
      </c>
      <c r="B663" s="164" t="s">
        <v>238</v>
      </c>
      <c r="C663" s="166">
        <f>10.5-3.5-0.5</f>
        <v>6.5</v>
      </c>
      <c r="D663" s="166">
        <v>9</v>
      </c>
      <c r="E663" s="137">
        <v>2050</v>
      </c>
      <c r="F663" s="138">
        <f t="shared" si="183"/>
        <v>13325</v>
      </c>
      <c r="G663" s="138"/>
      <c r="H663" s="167">
        <f t="shared" si="184"/>
        <v>6663</v>
      </c>
      <c r="I663" s="167"/>
      <c r="J663" s="59"/>
      <c r="K663" s="59"/>
      <c r="L663" s="59"/>
      <c r="M663" s="167">
        <f>ROUNDUP(E663*10%,0)</f>
        <v>205</v>
      </c>
      <c r="N663" s="167">
        <f t="shared" si="187"/>
        <v>3998</v>
      </c>
      <c r="O663" s="59"/>
      <c r="P663" s="59"/>
      <c r="Q663" s="59"/>
      <c r="R663" s="59"/>
      <c r="S663" s="59"/>
      <c r="T663" s="59"/>
      <c r="U663" s="59"/>
      <c r="V663" s="59"/>
      <c r="W663" s="59">
        <f t="shared" si="185"/>
        <v>10866</v>
      </c>
      <c r="X663" s="138">
        <f t="shared" si="186"/>
        <v>24191</v>
      </c>
      <c r="Y663" s="186">
        <f t="shared" si="188"/>
        <v>193528</v>
      </c>
    </row>
    <row r="664" spans="1:25" ht="26.4" customHeight="1" x14ac:dyDescent="0.25">
      <c r="A664" s="134">
        <v>7</v>
      </c>
      <c r="B664" s="164" t="s">
        <v>405</v>
      </c>
      <c r="C664" s="166">
        <f>5.5-1.5</f>
        <v>4</v>
      </c>
      <c r="D664" s="166">
        <v>8</v>
      </c>
      <c r="E664" s="137">
        <v>1943</v>
      </c>
      <c r="F664" s="138">
        <f t="shared" si="183"/>
        <v>7772</v>
      </c>
      <c r="G664" s="138"/>
      <c r="H664" s="167">
        <f t="shared" si="184"/>
        <v>3886</v>
      </c>
      <c r="I664" s="167"/>
      <c r="J664" s="59"/>
      <c r="K664" s="59"/>
      <c r="L664" s="59"/>
      <c r="M664" s="59"/>
      <c r="N664" s="167">
        <f t="shared" si="187"/>
        <v>2332</v>
      </c>
      <c r="O664" s="59"/>
      <c r="P664" s="59"/>
      <c r="Q664" s="59"/>
      <c r="R664" s="59"/>
      <c r="S664" s="59"/>
      <c r="T664" s="59"/>
      <c r="U664" s="59"/>
      <c r="V664" s="59"/>
      <c r="W664" s="59">
        <f t="shared" si="185"/>
        <v>6218</v>
      </c>
      <c r="X664" s="138">
        <f t="shared" si="186"/>
        <v>13990</v>
      </c>
      <c r="Y664" s="186">
        <f t="shared" si="188"/>
        <v>111920</v>
      </c>
    </row>
    <row r="665" spans="1:25" ht="26.4" customHeight="1" x14ac:dyDescent="0.25">
      <c r="A665" s="134"/>
      <c r="B665" s="164"/>
      <c r="C665" s="163"/>
      <c r="D665" s="163"/>
      <c r="E665" s="163"/>
      <c r="F665" s="186"/>
      <c r="G665" s="186"/>
      <c r="H665" s="163"/>
      <c r="I665" s="163"/>
      <c r="J665" s="163">
        <f>ROUNDUP(E659*15%,0)</f>
        <v>404</v>
      </c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34">
        <f t="shared" si="185"/>
        <v>404</v>
      </c>
      <c r="X665" s="138">
        <f t="shared" si="186"/>
        <v>404</v>
      </c>
      <c r="Y665" s="186">
        <f t="shared" si="188"/>
        <v>3232</v>
      </c>
    </row>
    <row r="666" spans="1:25" ht="26.4" customHeight="1" x14ac:dyDescent="0.25">
      <c r="A666" s="187"/>
      <c r="B666" s="164"/>
      <c r="C666" s="189">
        <f>SUM(C658:C665)</f>
        <v>20</v>
      </c>
      <c r="D666" s="163"/>
      <c r="E666" s="163"/>
      <c r="F666" s="171">
        <f t="shared" ref="F666:Y666" si="189">SUM(F658:F665)</f>
        <v>43434.5</v>
      </c>
      <c r="G666" s="171"/>
      <c r="H666" s="172">
        <f t="shared" si="189"/>
        <v>21718</v>
      </c>
      <c r="I666" s="172">
        <f t="shared" si="189"/>
        <v>0</v>
      </c>
      <c r="J666" s="172">
        <f t="shared" si="189"/>
        <v>404</v>
      </c>
      <c r="K666" s="172">
        <f t="shared" si="189"/>
        <v>0</v>
      </c>
      <c r="L666" s="172">
        <f t="shared" si="189"/>
        <v>0</v>
      </c>
      <c r="M666" s="172">
        <f t="shared" si="189"/>
        <v>205</v>
      </c>
      <c r="N666" s="172">
        <f t="shared" si="189"/>
        <v>13032</v>
      </c>
      <c r="O666" s="172">
        <f t="shared" si="189"/>
        <v>0</v>
      </c>
      <c r="P666" s="172">
        <f t="shared" si="189"/>
        <v>0</v>
      </c>
      <c r="Q666" s="172">
        <f t="shared" si="189"/>
        <v>0</v>
      </c>
      <c r="R666" s="172">
        <f t="shared" si="189"/>
        <v>0</v>
      </c>
      <c r="S666" s="172">
        <f t="shared" si="189"/>
        <v>0</v>
      </c>
      <c r="T666" s="172">
        <f t="shared" si="189"/>
        <v>0</v>
      </c>
      <c r="U666" s="172">
        <f t="shared" si="189"/>
        <v>0</v>
      </c>
      <c r="V666" s="172">
        <f t="shared" si="189"/>
        <v>0</v>
      </c>
      <c r="W666" s="172">
        <f t="shared" si="189"/>
        <v>35359</v>
      </c>
      <c r="X666" s="171">
        <f t="shared" si="189"/>
        <v>78793.5</v>
      </c>
      <c r="Y666" s="171">
        <f t="shared" si="189"/>
        <v>630348</v>
      </c>
    </row>
    <row r="667" spans="1:25" ht="15.75" customHeight="1" x14ac:dyDescent="0.25">
      <c r="A667" s="230" t="s">
        <v>406</v>
      </c>
      <c r="B667" s="231"/>
      <c r="C667" s="231"/>
      <c r="D667" s="231"/>
      <c r="E667" s="231"/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2"/>
      <c r="Y667" s="280"/>
    </row>
    <row r="668" spans="1:25" ht="24.9" customHeight="1" x14ac:dyDescent="0.25">
      <c r="A668" s="163">
        <v>1</v>
      </c>
      <c r="B668" s="164" t="s">
        <v>407</v>
      </c>
      <c r="C668" s="163">
        <v>1</v>
      </c>
      <c r="D668" s="163">
        <v>9</v>
      </c>
      <c r="E668" s="134">
        <v>2050</v>
      </c>
      <c r="F668" s="183">
        <f>E668*C668</f>
        <v>2050</v>
      </c>
      <c r="G668" s="183"/>
      <c r="H668" s="183"/>
      <c r="I668" s="183"/>
      <c r="J668" s="59"/>
      <c r="K668" s="59"/>
      <c r="L668" s="59"/>
      <c r="M668" s="59"/>
      <c r="N668" s="137">
        <f>ROUNDUP(F668*30%,0)</f>
        <v>615</v>
      </c>
      <c r="O668" s="59"/>
      <c r="P668" s="59"/>
      <c r="Q668" s="59"/>
      <c r="R668" s="59"/>
      <c r="S668" s="59"/>
      <c r="T668" s="59"/>
      <c r="U668" s="59"/>
      <c r="V668" s="59"/>
      <c r="W668" s="59">
        <f>SUM(H668:V668)</f>
        <v>615</v>
      </c>
      <c r="X668" s="138">
        <f>C668*E668+W668</f>
        <v>2665</v>
      </c>
      <c r="Y668" s="281">
        <f>X668*8</f>
        <v>21320</v>
      </c>
    </row>
    <row r="669" spans="1:25" ht="24.9" customHeight="1" x14ac:dyDescent="0.25">
      <c r="A669" s="163"/>
      <c r="B669" s="164"/>
      <c r="C669" s="144">
        <f>SUM(C668:C668)</f>
        <v>1</v>
      </c>
      <c r="D669" s="144"/>
      <c r="E669" s="144"/>
      <c r="F669" s="190">
        <f t="shared" ref="F669:Y669" si="190">SUM(F668:F668)</f>
        <v>2050</v>
      </c>
      <c r="G669" s="190"/>
      <c r="H669" s="198">
        <f t="shared" si="190"/>
        <v>0</v>
      </c>
      <c r="I669" s="198">
        <f t="shared" si="190"/>
        <v>0</v>
      </c>
      <c r="J669" s="198">
        <f t="shared" si="190"/>
        <v>0</v>
      </c>
      <c r="K669" s="198">
        <f t="shared" si="190"/>
        <v>0</v>
      </c>
      <c r="L669" s="198">
        <f t="shared" si="190"/>
        <v>0</v>
      </c>
      <c r="M669" s="198">
        <f t="shared" si="190"/>
        <v>0</v>
      </c>
      <c r="N669" s="198">
        <f t="shared" si="190"/>
        <v>615</v>
      </c>
      <c r="O669" s="198">
        <f t="shared" si="190"/>
        <v>0</v>
      </c>
      <c r="P669" s="198">
        <f t="shared" si="190"/>
        <v>0</v>
      </c>
      <c r="Q669" s="198">
        <f t="shared" si="190"/>
        <v>0</v>
      </c>
      <c r="R669" s="198">
        <f t="shared" si="190"/>
        <v>0</v>
      </c>
      <c r="S669" s="198">
        <f t="shared" si="190"/>
        <v>0</v>
      </c>
      <c r="T669" s="198">
        <f t="shared" si="190"/>
        <v>0</v>
      </c>
      <c r="U669" s="198">
        <f t="shared" si="190"/>
        <v>0</v>
      </c>
      <c r="V669" s="198">
        <f t="shared" si="190"/>
        <v>0</v>
      </c>
      <c r="W669" s="198">
        <f t="shared" si="190"/>
        <v>615</v>
      </c>
      <c r="X669" s="190">
        <f t="shared" si="190"/>
        <v>2665</v>
      </c>
      <c r="Y669" s="190">
        <f t="shared" si="190"/>
        <v>21320</v>
      </c>
    </row>
    <row r="670" spans="1:25" ht="18.75" customHeight="1" x14ac:dyDescent="0.25">
      <c r="A670" s="230" t="s">
        <v>200</v>
      </c>
      <c r="B670" s="231"/>
      <c r="C670" s="231"/>
      <c r="D670" s="231"/>
      <c r="E670" s="231"/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1"/>
      <c r="U670" s="231"/>
      <c r="V670" s="231"/>
      <c r="W670" s="231"/>
      <c r="X670" s="231"/>
      <c r="Y670" s="232"/>
    </row>
    <row r="671" spans="1:25" ht="18.75" customHeight="1" x14ac:dyDescent="0.25">
      <c r="A671" s="134">
        <v>1</v>
      </c>
      <c r="B671" s="135" t="s">
        <v>98</v>
      </c>
      <c r="C671" s="163">
        <v>1</v>
      </c>
      <c r="D671" s="163">
        <v>10</v>
      </c>
      <c r="E671" s="134">
        <v>2157</v>
      </c>
      <c r="F671" s="183">
        <f>E671*C671</f>
        <v>2157</v>
      </c>
      <c r="G671" s="183"/>
      <c r="H671" s="134"/>
      <c r="I671" s="134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>
        <f>SUM(H671:V671)</f>
        <v>0</v>
      </c>
      <c r="X671" s="183">
        <f>E671*C671+W671</f>
        <v>2157</v>
      </c>
      <c r="Y671" s="183">
        <f>X671*8</f>
        <v>17256</v>
      </c>
    </row>
    <row r="672" spans="1:25" ht="18.75" customHeight="1" x14ac:dyDescent="0.25">
      <c r="A672" s="134">
        <v>2</v>
      </c>
      <c r="B672" s="135" t="s">
        <v>102</v>
      </c>
      <c r="C672" s="163">
        <v>2</v>
      </c>
      <c r="D672" s="163">
        <v>7</v>
      </c>
      <c r="E672" s="134">
        <v>1825</v>
      </c>
      <c r="F672" s="183">
        <f>E672*C672</f>
        <v>3650</v>
      </c>
      <c r="G672" s="183"/>
      <c r="H672" s="134"/>
      <c r="I672" s="134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>
        <f>SUM(H672:V672)</f>
        <v>0</v>
      </c>
      <c r="X672" s="183">
        <f>E672*C672+W672</f>
        <v>3650</v>
      </c>
      <c r="Y672" s="183">
        <f t="shared" ref="Y672:Y684" si="191">X672*8</f>
        <v>29200</v>
      </c>
    </row>
    <row r="673" spans="1:29" ht="18.75" customHeight="1" x14ac:dyDescent="0.25">
      <c r="A673" s="134">
        <v>3</v>
      </c>
      <c r="B673" s="135" t="s">
        <v>222</v>
      </c>
      <c r="C673" s="163">
        <v>5</v>
      </c>
      <c r="D673" s="163">
        <v>5</v>
      </c>
      <c r="E673" s="134">
        <v>1612</v>
      </c>
      <c r="F673" s="183">
        <f>E673*C673</f>
        <v>8060</v>
      </c>
      <c r="G673" s="183"/>
      <c r="H673" s="134"/>
      <c r="I673" s="134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>
        <f>SUM(H673:V673)</f>
        <v>0</v>
      </c>
      <c r="X673" s="183">
        <f>E673*C673+W673</f>
        <v>8060</v>
      </c>
      <c r="Y673" s="183">
        <f t="shared" si="191"/>
        <v>64480</v>
      </c>
    </row>
    <row r="674" spans="1:29" ht="24.9" customHeight="1" x14ac:dyDescent="0.25">
      <c r="A674" s="134">
        <v>4</v>
      </c>
      <c r="B674" s="135" t="s">
        <v>408</v>
      </c>
      <c r="C674" s="163">
        <v>6</v>
      </c>
      <c r="D674" s="134">
        <v>5</v>
      </c>
      <c r="E674" s="282">
        <v>1612</v>
      </c>
      <c r="F674" s="186">
        <f t="shared" ref="F674:F683" si="192">E674*C674</f>
        <v>9672</v>
      </c>
      <c r="G674" s="186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63">
        <f t="shared" ref="W674:W683" si="193">SUM(H674:V674)</f>
        <v>0</v>
      </c>
      <c r="X674" s="183">
        <f>F674+W674</f>
        <v>9672</v>
      </c>
      <c r="Y674" s="183">
        <f t="shared" si="191"/>
        <v>77376</v>
      </c>
    </row>
    <row r="675" spans="1:29" ht="24.9" customHeight="1" x14ac:dyDescent="0.25">
      <c r="A675" s="134">
        <v>5</v>
      </c>
      <c r="B675" s="135" t="s">
        <v>409</v>
      </c>
      <c r="C675" s="163">
        <f>5+4+1-5-2</f>
        <v>3</v>
      </c>
      <c r="D675" s="134">
        <v>4</v>
      </c>
      <c r="E675" s="282">
        <v>1543</v>
      </c>
      <c r="F675" s="186">
        <f t="shared" si="192"/>
        <v>4629</v>
      </c>
      <c r="G675" s="186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63">
        <f t="shared" si="193"/>
        <v>0</v>
      </c>
      <c r="X675" s="183">
        <f>F675+W675</f>
        <v>4629</v>
      </c>
      <c r="Y675" s="183">
        <f t="shared" si="191"/>
        <v>37032</v>
      </c>
    </row>
    <row r="676" spans="1:29" ht="24.9" customHeight="1" x14ac:dyDescent="0.25">
      <c r="A676" s="134">
        <v>6</v>
      </c>
      <c r="B676" s="164" t="s">
        <v>204</v>
      </c>
      <c r="C676" s="163">
        <f>8-6</f>
        <v>2</v>
      </c>
      <c r="D676" s="163">
        <v>3</v>
      </c>
      <c r="E676" s="282">
        <v>1532</v>
      </c>
      <c r="F676" s="186">
        <f t="shared" si="192"/>
        <v>3064</v>
      </c>
      <c r="G676" s="186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63">
        <f t="shared" si="193"/>
        <v>0</v>
      </c>
      <c r="X676" s="183">
        <f>F676+W676</f>
        <v>3064</v>
      </c>
      <c r="Y676" s="183">
        <f t="shared" si="191"/>
        <v>24512</v>
      </c>
    </row>
    <row r="677" spans="1:29" ht="20.100000000000001" customHeight="1" x14ac:dyDescent="0.25">
      <c r="A677" s="134">
        <v>7</v>
      </c>
      <c r="B677" s="164" t="s">
        <v>178</v>
      </c>
      <c r="C677" s="166">
        <v>1</v>
      </c>
      <c r="D677" s="166">
        <v>5</v>
      </c>
      <c r="E677" s="137">
        <v>1612</v>
      </c>
      <c r="F677" s="138">
        <f t="shared" si="192"/>
        <v>1612</v>
      </c>
      <c r="G677" s="138"/>
      <c r="H677" s="138"/>
      <c r="I677" s="138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8">
        <f>SUM(H677:V677)</f>
        <v>0</v>
      </c>
      <c r="X677" s="138">
        <f>C677*E677+W677</f>
        <v>1612</v>
      </c>
      <c r="Y677" s="183">
        <f t="shared" si="191"/>
        <v>12896</v>
      </c>
    </row>
    <row r="678" spans="1:29" ht="20.100000000000001" customHeight="1" x14ac:dyDescent="0.25">
      <c r="A678" s="134">
        <v>8</v>
      </c>
      <c r="B678" s="164" t="s">
        <v>179</v>
      </c>
      <c r="C678" s="166">
        <v>1</v>
      </c>
      <c r="D678" s="166">
        <v>4</v>
      </c>
      <c r="E678" s="137">
        <v>1543</v>
      </c>
      <c r="F678" s="138">
        <f t="shared" si="192"/>
        <v>1543</v>
      </c>
      <c r="G678" s="138"/>
      <c r="H678" s="138"/>
      <c r="I678" s="138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8">
        <f>SUM(H678:V678)</f>
        <v>0</v>
      </c>
      <c r="X678" s="138">
        <f>C678*E678+W678</f>
        <v>1543</v>
      </c>
      <c r="Y678" s="183">
        <f t="shared" si="191"/>
        <v>12344</v>
      </c>
    </row>
    <row r="679" spans="1:29" ht="20.100000000000001" customHeight="1" x14ac:dyDescent="0.25">
      <c r="A679" s="134">
        <v>9</v>
      </c>
      <c r="B679" s="164" t="s">
        <v>208</v>
      </c>
      <c r="C679" s="166">
        <v>1</v>
      </c>
      <c r="D679" s="166">
        <v>3</v>
      </c>
      <c r="E679" s="137">
        <v>1532</v>
      </c>
      <c r="F679" s="138">
        <f t="shared" si="192"/>
        <v>1532</v>
      </c>
      <c r="G679" s="138"/>
      <c r="H679" s="138"/>
      <c r="I679" s="138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8">
        <f>SUM(H679:V679)</f>
        <v>0</v>
      </c>
      <c r="X679" s="138">
        <f>C679*E679+W679</f>
        <v>1532</v>
      </c>
      <c r="Y679" s="183">
        <f t="shared" si="191"/>
        <v>12256</v>
      </c>
    </row>
    <row r="680" spans="1:29" ht="25.5" customHeight="1" x14ac:dyDescent="0.25">
      <c r="A680" s="134">
        <v>10</v>
      </c>
      <c r="B680" s="203" t="s">
        <v>279</v>
      </c>
      <c r="C680" s="166">
        <v>1</v>
      </c>
      <c r="D680" s="204">
        <v>5</v>
      </c>
      <c r="E680" s="137">
        <v>1612</v>
      </c>
      <c r="F680" s="138">
        <f t="shared" si="192"/>
        <v>1612</v>
      </c>
      <c r="G680" s="138"/>
      <c r="H680" s="138"/>
      <c r="I680" s="138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8">
        <f>SUM(H680:V680)</f>
        <v>0</v>
      </c>
      <c r="X680" s="138">
        <f>C680*E680+W680</f>
        <v>1612</v>
      </c>
      <c r="Y680" s="183">
        <f t="shared" si="191"/>
        <v>12896</v>
      </c>
    </row>
    <row r="681" spans="1:29" ht="24.9" customHeight="1" x14ac:dyDescent="0.25">
      <c r="A681" s="134">
        <v>11</v>
      </c>
      <c r="B681" s="164" t="s">
        <v>410</v>
      </c>
      <c r="C681" s="163">
        <v>1</v>
      </c>
      <c r="D681" s="163">
        <v>3</v>
      </c>
      <c r="E681" s="282">
        <v>1532</v>
      </c>
      <c r="F681" s="186">
        <f t="shared" si="192"/>
        <v>1532</v>
      </c>
      <c r="G681" s="186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63">
        <f t="shared" si="193"/>
        <v>0</v>
      </c>
      <c r="X681" s="183">
        <f>F681+W681</f>
        <v>1532</v>
      </c>
      <c r="Y681" s="183">
        <f t="shared" si="191"/>
        <v>12256</v>
      </c>
    </row>
    <row r="682" spans="1:29" ht="21" customHeight="1" x14ac:dyDescent="0.25">
      <c r="A682" s="134">
        <v>12</v>
      </c>
      <c r="B682" s="164" t="s">
        <v>411</v>
      </c>
      <c r="C682" s="166">
        <v>1</v>
      </c>
      <c r="D682" s="166">
        <v>5</v>
      </c>
      <c r="E682" s="137">
        <v>1612</v>
      </c>
      <c r="F682" s="138">
        <f>E682*C682</f>
        <v>1612</v>
      </c>
      <c r="G682" s="138"/>
      <c r="H682" s="138"/>
      <c r="I682" s="138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8">
        <f>SUM(H682:V682)</f>
        <v>0</v>
      </c>
      <c r="X682" s="138">
        <f>C682*E682+W682</f>
        <v>1612</v>
      </c>
      <c r="Y682" s="183">
        <f t="shared" si="191"/>
        <v>12896</v>
      </c>
    </row>
    <row r="683" spans="1:29" ht="18.75" customHeight="1" x14ac:dyDescent="0.25">
      <c r="A683" s="134">
        <v>13</v>
      </c>
      <c r="B683" s="164" t="s">
        <v>412</v>
      </c>
      <c r="C683" s="163">
        <v>1</v>
      </c>
      <c r="D683" s="163">
        <v>3</v>
      </c>
      <c r="E683" s="282">
        <v>1532</v>
      </c>
      <c r="F683" s="186">
        <f t="shared" si="192"/>
        <v>1532</v>
      </c>
      <c r="G683" s="186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63">
        <f t="shared" si="193"/>
        <v>0</v>
      </c>
      <c r="X683" s="183">
        <f>F683+W683</f>
        <v>1532</v>
      </c>
      <c r="Y683" s="183">
        <f t="shared" si="191"/>
        <v>12256</v>
      </c>
    </row>
    <row r="684" spans="1:29" ht="20.100000000000001" customHeight="1" x14ac:dyDescent="0.25">
      <c r="A684" s="134">
        <v>14</v>
      </c>
      <c r="B684" s="164" t="s">
        <v>413</v>
      </c>
      <c r="C684" s="166">
        <v>1</v>
      </c>
      <c r="D684" s="166">
        <v>4</v>
      </c>
      <c r="E684" s="137">
        <v>1543</v>
      </c>
      <c r="F684" s="138">
        <f>E684*C684</f>
        <v>1543</v>
      </c>
      <c r="G684" s="138"/>
      <c r="H684" s="138"/>
      <c r="I684" s="138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8">
        <f>SUM(H684:V684)</f>
        <v>0</v>
      </c>
      <c r="X684" s="138">
        <f>C684*E684+W684</f>
        <v>1543</v>
      </c>
      <c r="Y684" s="183">
        <f t="shared" si="191"/>
        <v>12344</v>
      </c>
    </row>
    <row r="685" spans="1:29" ht="14.25" customHeight="1" x14ac:dyDescent="0.25">
      <c r="A685" s="134"/>
      <c r="B685" s="135"/>
      <c r="C685" s="178">
        <f>SUM(C671:C684)</f>
        <v>27</v>
      </c>
      <c r="D685" s="178"/>
      <c r="E685" s="163"/>
      <c r="F685" s="171">
        <f>SUM(F671:F684)</f>
        <v>43750</v>
      </c>
      <c r="G685" s="171">
        <f t="shared" ref="G685:Y685" si="194">SUM(G671:G684)</f>
        <v>0</v>
      </c>
      <c r="H685" s="171">
        <f t="shared" si="194"/>
        <v>0</v>
      </c>
      <c r="I685" s="171">
        <f t="shared" si="194"/>
        <v>0</v>
      </c>
      <c r="J685" s="171">
        <f t="shared" si="194"/>
        <v>0</v>
      </c>
      <c r="K685" s="171">
        <f t="shared" si="194"/>
        <v>0</v>
      </c>
      <c r="L685" s="171">
        <f t="shared" si="194"/>
        <v>0</v>
      </c>
      <c r="M685" s="171">
        <f t="shared" si="194"/>
        <v>0</v>
      </c>
      <c r="N685" s="171">
        <f t="shared" si="194"/>
        <v>0</v>
      </c>
      <c r="O685" s="171">
        <f t="shared" si="194"/>
        <v>0</v>
      </c>
      <c r="P685" s="171">
        <f t="shared" si="194"/>
        <v>0</v>
      </c>
      <c r="Q685" s="171">
        <f t="shared" si="194"/>
        <v>0</v>
      </c>
      <c r="R685" s="171">
        <f t="shared" si="194"/>
        <v>0</v>
      </c>
      <c r="S685" s="171">
        <f t="shared" si="194"/>
        <v>0</v>
      </c>
      <c r="T685" s="171">
        <f t="shared" si="194"/>
        <v>0</v>
      </c>
      <c r="U685" s="171">
        <f t="shared" si="194"/>
        <v>0</v>
      </c>
      <c r="V685" s="171">
        <f t="shared" si="194"/>
        <v>0</v>
      </c>
      <c r="W685" s="171">
        <f t="shared" si="194"/>
        <v>0</v>
      </c>
      <c r="X685" s="171">
        <f t="shared" si="194"/>
        <v>43750</v>
      </c>
      <c r="Y685" s="171">
        <f t="shared" si="194"/>
        <v>350000</v>
      </c>
    </row>
    <row r="686" spans="1:29" ht="29.4" customHeight="1" x14ac:dyDescent="0.25">
      <c r="A686" s="163"/>
      <c r="B686" s="164" t="s">
        <v>414</v>
      </c>
      <c r="C686" s="163"/>
      <c r="D686" s="163"/>
      <c r="E686" s="163"/>
      <c r="F686" s="163"/>
      <c r="G686" s="163"/>
      <c r="H686" s="163"/>
      <c r="I686" s="163"/>
      <c r="J686" s="137">
        <f>ROUNDUP([1]секретность!B6,0)</f>
        <v>1930</v>
      </c>
      <c r="K686" s="163"/>
      <c r="L686" s="163"/>
      <c r="M686" s="163"/>
      <c r="N686" s="163"/>
      <c r="O686" s="163"/>
      <c r="P686" s="163"/>
      <c r="Q686" s="163"/>
      <c r="R686" s="163"/>
      <c r="S686" s="163"/>
      <c r="T686" s="152">
        <f>ROUNDUP([1]вредность!B20,0)</f>
        <v>4340</v>
      </c>
      <c r="U686" s="163"/>
      <c r="V686" s="163">
        <v>67182</v>
      </c>
      <c r="W686" s="163">
        <f>SUM(H686:V686)</f>
        <v>73452</v>
      </c>
      <c r="X686" s="183">
        <f>C686*E686+W686</f>
        <v>73452</v>
      </c>
      <c r="Y686" s="186">
        <f>X686*8</f>
        <v>587616</v>
      </c>
    </row>
    <row r="687" spans="1:29" ht="28.5" customHeight="1" x14ac:dyDescent="0.25">
      <c r="A687" s="163"/>
      <c r="B687" s="283"/>
      <c r="C687" s="190"/>
      <c r="D687" s="190"/>
      <c r="E687" s="190"/>
      <c r="F687" s="190"/>
      <c r="G687" s="198"/>
      <c r="H687" s="198"/>
      <c r="I687" s="198"/>
      <c r="J687" s="198"/>
      <c r="K687" s="198"/>
      <c r="L687" s="198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98"/>
      <c r="X687" s="190"/>
      <c r="Y687" s="190"/>
      <c r="Z687" s="190"/>
      <c r="AA687" s="190"/>
      <c r="AB687" s="190"/>
      <c r="AC687" s="190"/>
    </row>
    <row r="688" spans="1:29" ht="21.75" customHeight="1" x14ac:dyDescent="0.25">
      <c r="A688" s="284" t="s">
        <v>415</v>
      </c>
      <c r="B688" s="285"/>
      <c r="C688" s="285"/>
      <c r="D688" s="285"/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  <c r="O688" s="285"/>
      <c r="P688" s="285"/>
      <c r="Q688" s="285"/>
      <c r="R688" s="285"/>
      <c r="S688" s="285"/>
      <c r="T688" s="285"/>
      <c r="U688" s="285"/>
      <c r="V688" s="285"/>
      <c r="W688" s="285"/>
      <c r="X688" s="285"/>
      <c r="Y688" s="286"/>
    </row>
    <row r="689" spans="1:29" ht="21.75" customHeight="1" x14ac:dyDescent="0.25">
      <c r="A689" s="137">
        <v>1</v>
      </c>
      <c r="B689" s="274" t="s">
        <v>333</v>
      </c>
      <c r="C689" s="137">
        <v>1</v>
      </c>
      <c r="D689" s="137">
        <v>10</v>
      </c>
      <c r="E689" s="163">
        <v>2157</v>
      </c>
      <c r="F689" s="186">
        <f>E689*C689</f>
        <v>2157</v>
      </c>
      <c r="G689" s="186"/>
      <c r="H689" s="137"/>
      <c r="I689" s="137"/>
      <c r="J689" s="137"/>
      <c r="K689" s="137"/>
      <c r="L689" s="137"/>
      <c r="M689" s="137"/>
      <c r="N689" s="137">
        <f>ROUNDUP(F689*30%,0)</f>
        <v>648</v>
      </c>
      <c r="O689" s="137"/>
      <c r="P689" s="137"/>
      <c r="Q689" s="137">
        <f>ROUNDUP(F689*25%,0)</f>
        <v>540</v>
      </c>
      <c r="R689" s="137"/>
      <c r="S689" s="137">
        <f>ROUNDUP(F689*15%,0)</f>
        <v>324</v>
      </c>
      <c r="T689" s="137"/>
      <c r="U689" s="137"/>
      <c r="V689" s="144"/>
      <c r="W689" s="59">
        <f>SUM(H689:V689)</f>
        <v>1512</v>
      </c>
      <c r="X689" s="138">
        <f>E689*C689+W689</f>
        <v>3669</v>
      </c>
      <c r="Y689" s="138">
        <f>X689*8</f>
        <v>29352</v>
      </c>
    </row>
    <row r="690" spans="1:29" ht="21.75" customHeight="1" x14ac:dyDescent="0.25">
      <c r="A690" s="187">
        <v>2</v>
      </c>
      <c r="B690" s="164" t="s">
        <v>137</v>
      </c>
      <c r="C690" s="134">
        <v>4</v>
      </c>
      <c r="D690" s="163">
        <v>7</v>
      </c>
      <c r="E690" s="163">
        <v>1825</v>
      </c>
      <c r="F690" s="186">
        <f>E690*C690</f>
        <v>7300</v>
      </c>
      <c r="G690" s="186"/>
      <c r="H690" s="163"/>
      <c r="I690" s="59">
        <f>ROUNDUP(F690*20%,0)</f>
        <v>1460</v>
      </c>
      <c r="J690" s="163"/>
      <c r="K690" s="163"/>
      <c r="L690" s="163"/>
      <c r="M690" s="163"/>
      <c r="N690" s="163">
        <f>ROUNDUP(F690*30%,0)</f>
        <v>2190</v>
      </c>
      <c r="O690" s="163"/>
      <c r="P690" s="163"/>
      <c r="Q690" s="163"/>
      <c r="R690" s="163"/>
      <c r="S690" s="163"/>
      <c r="T690" s="163"/>
      <c r="U690" s="163"/>
      <c r="V690" s="163"/>
      <c r="W690" s="163">
        <f>SUM(H690:V690)</f>
        <v>3650</v>
      </c>
      <c r="X690" s="183">
        <f>C690*E690+W690</f>
        <v>10950</v>
      </c>
      <c r="Y690" s="138">
        <f>X690*8</f>
        <v>87600</v>
      </c>
    </row>
    <row r="691" spans="1:29" ht="21.75" customHeight="1" x14ac:dyDescent="0.25">
      <c r="A691" s="187">
        <v>3</v>
      </c>
      <c r="B691" s="135" t="s">
        <v>126</v>
      </c>
      <c r="C691" s="134">
        <v>1</v>
      </c>
      <c r="D691" s="134">
        <v>5</v>
      </c>
      <c r="E691" s="163">
        <v>1612</v>
      </c>
      <c r="F691" s="186">
        <f>E691*C691</f>
        <v>1612</v>
      </c>
      <c r="G691" s="186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>
        <f>SUM(H691:V691)</f>
        <v>0</v>
      </c>
      <c r="X691" s="183">
        <f>C691*E691+W691</f>
        <v>1612</v>
      </c>
      <c r="Y691" s="138">
        <f>X691*8</f>
        <v>12896</v>
      </c>
    </row>
    <row r="692" spans="1:29" ht="21.75" customHeight="1" x14ac:dyDescent="0.25">
      <c r="A692" s="187">
        <v>4</v>
      </c>
      <c r="B692" s="59" t="s">
        <v>323</v>
      </c>
      <c r="C692" s="137">
        <v>1</v>
      </c>
      <c r="D692" s="137">
        <v>10</v>
      </c>
      <c r="E692" s="163">
        <v>2157</v>
      </c>
      <c r="F692" s="186">
        <f>E692*C692</f>
        <v>2157</v>
      </c>
      <c r="G692" s="186"/>
      <c r="H692" s="163"/>
      <c r="I692" s="163"/>
      <c r="J692" s="137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>
        <f>SUM(H692:V692)</f>
        <v>0</v>
      </c>
      <c r="X692" s="138">
        <f>E692*C692+W692</f>
        <v>2157</v>
      </c>
      <c r="Y692" s="138">
        <f>X692*8</f>
        <v>17256</v>
      </c>
    </row>
    <row r="693" spans="1:29" ht="21.75" customHeight="1" x14ac:dyDescent="0.25">
      <c r="A693" s="187">
        <v>5</v>
      </c>
      <c r="B693" s="59" t="s">
        <v>99</v>
      </c>
      <c r="C693" s="137">
        <v>2</v>
      </c>
      <c r="D693" s="137">
        <v>9</v>
      </c>
      <c r="E693" s="163">
        <v>2050</v>
      </c>
      <c r="F693" s="186">
        <f>E693*C693</f>
        <v>4100</v>
      </c>
      <c r="G693" s="186"/>
      <c r="H693" s="163"/>
      <c r="I693" s="163"/>
      <c r="J693" s="137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>
        <f>SUM(H693:V693)</f>
        <v>0</v>
      </c>
      <c r="X693" s="138">
        <f>E693*C693+W693</f>
        <v>4100</v>
      </c>
      <c r="Y693" s="138">
        <f>X693*8</f>
        <v>32800</v>
      </c>
    </row>
    <row r="694" spans="1:29" ht="21.75" customHeight="1" x14ac:dyDescent="0.25">
      <c r="A694" s="59"/>
      <c r="B694" s="59"/>
      <c r="C694" s="177">
        <f>SUM(C689:C693)</f>
        <v>9</v>
      </c>
      <c r="D694" s="177"/>
      <c r="E694" s="59"/>
      <c r="F694" s="169">
        <f>SUM(F689:F693)</f>
        <v>17326</v>
      </c>
      <c r="G694" s="169"/>
      <c r="H694" s="170">
        <f t="shared" ref="H694:Y694" si="195">SUM(H689:H693)</f>
        <v>0</v>
      </c>
      <c r="I694" s="170">
        <f t="shared" si="195"/>
        <v>1460</v>
      </c>
      <c r="J694" s="170">
        <f t="shared" si="195"/>
        <v>0</v>
      </c>
      <c r="K694" s="170">
        <f t="shared" si="195"/>
        <v>0</v>
      </c>
      <c r="L694" s="170">
        <f t="shared" si="195"/>
        <v>0</v>
      </c>
      <c r="M694" s="170">
        <f t="shared" si="195"/>
        <v>0</v>
      </c>
      <c r="N694" s="170">
        <f t="shared" si="195"/>
        <v>2838</v>
      </c>
      <c r="O694" s="170">
        <f t="shared" si="195"/>
        <v>0</v>
      </c>
      <c r="P694" s="170">
        <f t="shared" si="195"/>
        <v>0</v>
      </c>
      <c r="Q694" s="170">
        <f t="shared" si="195"/>
        <v>540</v>
      </c>
      <c r="R694" s="170">
        <f t="shared" si="195"/>
        <v>0</v>
      </c>
      <c r="S694" s="170">
        <f t="shared" si="195"/>
        <v>324</v>
      </c>
      <c r="T694" s="170">
        <f t="shared" si="195"/>
        <v>0</v>
      </c>
      <c r="U694" s="170">
        <f t="shared" si="195"/>
        <v>0</v>
      </c>
      <c r="V694" s="170">
        <f t="shared" si="195"/>
        <v>0</v>
      </c>
      <c r="W694" s="170">
        <f t="shared" si="195"/>
        <v>5162</v>
      </c>
      <c r="X694" s="169">
        <f t="shared" si="195"/>
        <v>22488</v>
      </c>
      <c r="Y694" s="169">
        <f t="shared" si="195"/>
        <v>179904</v>
      </c>
    </row>
    <row r="695" spans="1:29" ht="21.75" customHeight="1" x14ac:dyDescent="0.25">
      <c r="A695" s="174" t="s">
        <v>227</v>
      </c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6"/>
    </row>
    <row r="696" spans="1:29" ht="21.75" customHeight="1" x14ac:dyDescent="0.25">
      <c r="A696" s="59">
        <v>1</v>
      </c>
      <c r="B696" s="59" t="s">
        <v>416</v>
      </c>
      <c r="C696" s="137">
        <v>1</v>
      </c>
      <c r="D696" s="137">
        <v>9</v>
      </c>
      <c r="E696" s="163">
        <v>2050</v>
      </c>
      <c r="F696" s="186">
        <f>C696*E696</f>
        <v>2050</v>
      </c>
      <c r="G696" s="186"/>
      <c r="H696" s="163"/>
      <c r="I696" s="163"/>
      <c r="J696" s="137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137">
        <f>SUM(H696:V696)</f>
        <v>0</v>
      </c>
      <c r="X696" s="138">
        <f>E696*C696+W696</f>
        <v>2050</v>
      </c>
      <c r="Y696" s="138">
        <f>X696*8</f>
        <v>16400</v>
      </c>
    </row>
    <row r="697" spans="1:29" ht="21.75" customHeight="1" x14ac:dyDescent="0.25">
      <c r="A697" s="59"/>
      <c r="B697" s="59"/>
      <c r="C697" s="177">
        <f>SUM(C696:C696)</f>
        <v>1</v>
      </c>
      <c r="D697" s="177"/>
      <c r="E697" s="59"/>
      <c r="F697" s="201">
        <f>SUM(F696:F696)</f>
        <v>2050</v>
      </c>
      <c r="G697" s="201"/>
      <c r="H697" s="184">
        <f t="shared" ref="H697:Y697" si="196">SUM(H696:H696)</f>
        <v>0</v>
      </c>
      <c r="I697" s="184">
        <f t="shared" si="196"/>
        <v>0</v>
      </c>
      <c r="J697" s="184">
        <f t="shared" si="196"/>
        <v>0</v>
      </c>
      <c r="K697" s="184">
        <f t="shared" si="196"/>
        <v>0</v>
      </c>
      <c r="L697" s="184">
        <f t="shared" si="196"/>
        <v>0</v>
      </c>
      <c r="M697" s="184">
        <f t="shared" si="196"/>
        <v>0</v>
      </c>
      <c r="N697" s="184">
        <f t="shared" si="196"/>
        <v>0</v>
      </c>
      <c r="O697" s="184">
        <f t="shared" si="196"/>
        <v>0</v>
      </c>
      <c r="P697" s="184">
        <f t="shared" si="196"/>
        <v>0</v>
      </c>
      <c r="Q697" s="184">
        <f t="shared" si="196"/>
        <v>0</v>
      </c>
      <c r="R697" s="184">
        <f t="shared" si="196"/>
        <v>0</v>
      </c>
      <c r="S697" s="184">
        <f t="shared" si="196"/>
        <v>0</v>
      </c>
      <c r="T697" s="184">
        <f t="shared" si="196"/>
        <v>0</v>
      </c>
      <c r="U697" s="184">
        <f t="shared" si="196"/>
        <v>0</v>
      </c>
      <c r="V697" s="184">
        <f t="shared" si="196"/>
        <v>0</v>
      </c>
      <c r="W697" s="184">
        <f t="shared" si="196"/>
        <v>0</v>
      </c>
      <c r="X697" s="201">
        <f t="shared" si="196"/>
        <v>2050</v>
      </c>
      <c r="Y697" s="201">
        <f t="shared" si="196"/>
        <v>16400</v>
      </c>
      <c r="Z697" s="184">
        <f>SUM(Z696:Z696)</f>
        <v>0</v>
      </c>
      <c r="AA697" s="184">
        <f>SUM(AA696:AA696)</f>
        <v>0</v>
      </c>
      <c r="AB697" s="184">
        <f>SUM(AB696:AB696)</f>
        <v>0</v>
      </c>
      <c r="AC697" s="184">
        <f>SUM(AC696:AC696)</f>
        <v>0</v>
      </c>
    </row>
    <row r="698" spans="1:29" ht="21.75" customHeight="1" x14ac:dyDescent="0.25">
      <c r="A698" s="284" t="s">
        <v>417</v>
      </c>
      <c r="B698" s="285"/>
      <c r="C698" s="285"/>
      <c r="D698" s="285"/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5"/>
      <c r="P698" s="285"/>
      <c r="Q698" s="285"/>
      <c r="R698" s="285"/>
      <c r="S698" s="285"/>
      <c r="T698" s="285"/>
      <c r="U698" s="285"/>
      <c r="V698" s="285"/>
      <c r="W698" s="285"/>
      <c r="X698" s="285"/>
      <c r="Y698" s="286"/>
      <c r="Z698" s="287"/>
      <c r="AA698" s="287"/>
      <c r="AB698" s="287"/>
      <c r="AC698" s="287"/>
    </row>
    <row r="699" spans="1:29" ht="21.75" customHeight="1" x14ac:dyDescent="0.25">
      <c r="A699" s="59">
        <v>1</v>
      </c>
      <c r="B699" s="164" t="s">
        <v>401</v>
      </c>
      <c r="C699" s="134">
        <v>1</v>
      </c>
      <c r="D699" s="163">
        <v>10</v>
      </c>
      <c r="E699" s="163">
        <v>2157</v>
      </c>
      <c r="F699" s="186">
        <f t="shared" ref="F699:F704" si="197">E699*C699</f>
        <v>2157</v>
      </c>
      <c r="G699" s="186"/>
      <c r="H699" s="163"/>
      <c r="I699" s="59">
        <f>ROUNDUP(F699*20%,0)</f>
        <v>432</v>
      </c>
      <c r="J699" s="163"/>
      <c r="K699" s="163"/>
      <c r="L699" s="163"/>
      <c r="M699" s="163"/>
      <c r="N699" s="163">
        <f>ROUNDUP(F699*30%,0)</f>
        <v>648</v>
      </c>
      <c r="O699" s="163"/>
      <c r="P699" s="163"/>
      <c r="Q699" s="163"/>
      <c r="R699" s="163"/>
      <c r="S699" s="163"/>
      <c r="T699" s="163"/>
      <c r="U699" s="163"/>
      <c r="V699" s="163"/>
      <c r="W699" s="163">
        <f t="shared" ref="W699:W704" si="198">SUM(H699:V699)</f>
        <v>1080</v>
      </c>
      <c r="X699" s="183">
        <f>C699*E699+W699</f>
        <v>3237</v>
      </c>
      <c r="Y699" s="138">
        <f t="shared" ref="Y699:Y704" si="199">X699*8</f>
        <v>25896</v>
      </c>
      <c r="Z699" s="287"/>
      <c r="AA699" s="287"/>
      <c r="AB699" s="287"/>
      <c r="AC699" s="287"/>
    </row>
    <row r="700" spans="1:29" ht="21.75" customHeight="1" x14ac:dyDescent="0.25">
      <c r="A700" s="59">
        <v>2</v>
      </c>
      <c r="B700" s="164" t="s">
        <v>130</v>
      </c>
      <c r="C700" s="137">
        <v>1</v>
      </c>
      <c r="D700" s="137">
        <v>9</v>
      </c>
      <c r="E700" s="163">
        <v>2050</v>
      </c>
      <c r="F700" s="186">
        <f t="shared" si="197"/>
        <v>2050</v>
      </c>
      <c r="G700" s="186"/>
      <c r="H700" s="163"/>
      <c r="I700" s="59">
        <f>ROUNDUP(F700*20%,0)</f>
        <v>410</v>
      </c>
      <c r="J700" s="137"/>
      <c r="K700" s="59"/>
      <c r="L700" s="59"/>
      <c r="M700" s="59"/>
      <c r="N700" s="163">
        <f>ROUNDUP(F700*30%,0)</f>
        <v>615</v>
      </c>
      <c r="O700" s="59"/>
      <c r="P700" s="59"/>
      <c r="Q700" s="59"/>
      <c r="R700" s="59"/>
      <c r="S700" s="59"/>
      <c r="T700" s="59"/>
      <c r="U700" s="59"/>
      <c r="V700" s="59"/>
      <c r="W700" s="163">
        <f t="shared" si="198"/>
        <v>1025</v>
      </c>
      <c r="X700" s="183">
        <f>C700*E700+W700</f>
        <v>3075</v>
      </c>
      <c r="Y700" s="138">
        <f t="shared" si="199"/>
        <v>24600</v>
      </c>
      <c r="Z700" s="287"/>
      <c r="AA700" s="287"/>
      <c r="AB700" s="287"/>
      <c r="AC700" s="287"/>
    </row>
    <row r="701" spans="1:29" ht="21.75" customHeight="1" x14ac:dyDescent="0.25">
      <c r="A701" s="59">
        <v>3</v>
      </c>
      <c r="B701" s="59" t="s">
        <v>99</v>
      </c>
      <c r="C701" s="137">
        <v>8</v>
      </c>
      <c r="D701" s="137">
        <v>9</v>
      </c>
      <c r="E701" s="163">
        <v>2050</v>
      </c>
      <c r="F701" s="186">
        <f t="shared" si="197"/>
        <v>16400</v>
      </c>
      <c r="G701" s="186"/>
      <c r="H701" s="163"/>
      <c r="I701" s="163"/>
      <c r="J701" s="137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137">
        <f t="shared" si="198"/>
        <v>0</v>
      </c>
      <c r="X701" s="138">
        <f>E701*C701+W701</f>
        <v>16400</v>
      </c>
      <c r="Y701" s="138">
        <f t="shared" si="199"/>
        <v>131200</v>
      </c>
      <c r="Z701" s="287"/>
      <c r="AA701" s="287"/>
      <c r="AB701" s="287"/>
      <c r="AC701" s="287"/>
    </row>
    <row r="702" spans="1:29" ht="21.75" customHeight="1" x14ac:dyDescent="0.25">
      <c r="A702" s="59">
        <v>4</v>
      </c>
      <c r="B702" s="59" t="s">
        <v>98</v>
      </c>
      <c r="C702" s="137">
        <f>7-1-2</f>
        <v>4</v>
      </c>
      <c r="D702" s="137">
        <v>10</v>
      </c>
      <c r="E702" s="163">
        <v>2157</v>
      </c>
      <c r="F702" s="186">
        <f t="shared" si="197"/>
        <v>8628</v>
      </c>
      <c r="G702" s="186"/>
      <c r="H702" s="163"/>
      <c r="I702" s="59"/>
      <c r="J702" s="137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137">
        <f t="shared" si="198"/>
        <v>0</v>
      </c>
      <c r="X702" s="138">
        <f>E702*C702+W702</f>
        <v>8628</v>
      </c>
      <c r="Y702" s="138">
        <f t="shared" si="199"/>
        <v>69024</v>
      </c>
      <c r="Z702" s="287"/>
      <c r="AA702" s="287"/>
      <c r="AB702" s="287"/>
      <c r="AC702" s="287"/>
    </row>
    <row r="703" spans="1:29" ht="21.75" customHeight="1" x14ac:dyDescent="0.25">
      <c r="A703" s="59">
        <v>5</v>
      </c>
      <c r="B703" s="59" t="s">
        <v>405</v>
      </c>
      <c r="C703" s="137">
        <v>1</v>
      </c>
      <c r="D703" s="137">
        <v>8</v>
      </c>
      <c r="E703" s="163">
        <v>1943</v>
      </c>
      <c r="F703" s="186">
        <f t="shared" si="197"/>
        <v>1943</v>
      </c>
      <c r="G703" s="186"/>
      <c r="H703" s="163">
        <f>ROUNDUP(F703*50%,0)</f>
        <v>972</v>
      </c>
      <c r="I703" s="59"/>
      <c r="J703" s="288"/>
      <c r="K703" s="59"/>
      <c r="L703" s="59"/>
      <c r="M703" s="59"/>
      <c r="N703" s="59">
        <f>ROUNDUP(F703*30%,0)</f>
        <v>583</v>
      </c>
      <c r="O703" s="59"/>
      <c r="P703" s="59"/>
      <c r="Q703" s="59"/>
      <c r="R703" s="59"/>
      <c r="S703" s="59"/>
      <c r="T703" s="59"/>
      <c r="U703" s="59"/>
      <c r="V703" s="59"/>
      <c r="W703" s="137">
        <f t="shared" si="198"/>
        <v>1555</v>
      </c>
      <c r="X703" s="138">
        <f>E703*C703+W703</f>
        <v>3498</v>
      </c>
      <c r="Y703" s="138">
        <f t="shared" si="199"/>
        <v>27984</v>
      </c>
      <c r="Z703" s="287"/>
      <c r="AA703" s="287"/>
      <c r="AB703" s="287"/>
      <c r="AC703" s="287"/>
    </row>
    <row r="704" spans="1:29" ht="21.75" customHeight="1" x14ac:dyDescent="0.25">
      <c r="A704" s="59">
        <v>6</v>
      </c>
      <c r="B704" s="59" t="s">
        <v>318</v>
      </c>
      <c r="C704" s="137">
        <v>2</v>
      </c>
      <c r="D704" s="137">
        <v>2</v>
      </c>
      <c r="E704" s="163">
        <v>1521</v>
      </c>
      <c r="F704" s="186">
        <f t="shared" si="197"/>
        <v>3042</v>
      </c>
      <c r="G704" s="186"/>
      <c r="H704" s="163"/>
      <c r="I704" s="163"/>
      <c r="J704" s="137"/>
      <c r="K704" s="59"/>
      <c r="L704" s="59"/>
      <c r="M704" s="59"/>
      <c r="N704" s="59"/>
      <c r="O704" s="59"/>
      <c r="P704" s="59"/>
      <c r="Q704" s="59"/>
      <c r="R704" s="59"/>
      <c r="S704" s="59"/>
      <c r="T704" s="59">
        <f>ROUNDUP(F704*10%,0)</f>
        <v>305</v>
      </c>
      <c r="U704" s="59"/>
      <c r="V704" s="59"/>
      <c r="W704" s="137">
        <f t="shared" si="198"/>
        <v>305</v>
      </c>
      <c r="X704" s="138">
        <f>E704*C704+W704</f>
        <v>3347</v>
      </c>
      <c r="Y704" s="138">
        <f t="shared" si="199"/>
        <v>26776</v>
      </c>
      <c r="Z704" s="287"/>
      <c r="AA704" s="287"/>
      <c r="AB704" s="287"/>
      <c r="AC704" s="287"/>
    </row>
    <row r="705" spans="1:29" ht="21.75" customHeight="1" x14ac:dyDescent="0.25">
      <c r="A705" s="59"/>
      <c r="B705" s="59"/>
      <c r="C705" s="177">
        <f>SUM(C699:C704)</f>
        <v>17</v>
      </c>
      <c r="D705" s="137"/>
      <c r="E705" s="59"/>
      <c r="F705" s="201">
        <f>SUM(F699:F704)</f>
        <v>34220</v>
      </c>
      <c r="G705" s="201"/>
      <c r="H705" s="227">
        <f t="shared" ref="H705:Y705" si="200">SUM(H699:H704)</f>
        <v>972</v>
      </c>
      <c r="I705" s="227">
        <f t="shared" si="200"/>
        <v>842</v>
      </c>
      <c r="J705" s="228">
        <f t="shared" si="200"/>
        <v>0</v>
      </c>
      <c r="K705" s="228">
        <f t="shared" si="200"/>
        <v>0</v>
      </c>
      <c r="L705" s="228">
        <f t="shared" si="200"/>
        <v>0</v>
      </c>
      <c r="M705" s="228">
        <f t="shared" si="200"/>
        <v>0</v>
      </c>
      <c r="N705" s="184">
        <f t="shared" si="200"/>
        <v>1846</v>
      </c>
      <c r="O705" s="228">
        <f t="shared" si="200"/>
        <v>0</v>
      </c>
      <c r="P705" s="228">
        <f t="shared" si="200"/>
        <v>0</v>
      </c>
      <c r="Q705" s="228">
        <f t="shared" si="200"/>
        <v>0</v>
      </c>
      <c r="R705" s="228">
        <f t="shared" si="200"/>
        <v>0</v>
      </c>
      <c r="S705" s="228">
        <f t="shared" si="200"/>
        <v>0</v>
      </c>
      <c r="T705" s="228">
        <f t="shared" si="200"/>
        <v>305</v>
      </c>
      <c r="U705" s="228">
        <f t="shared" si="200"/>
        <v>0</v>
      </c>
      <c r="V705" s="228">
        <f t="shared" si="200"/>
        <v>0</v>
      </c>
      <c r="W705" s="228">
        <f t="shared" si="200"/>
        <v>3965</v>
      </c>
      <c r="X705" s="169">
        <f t="shared" si="200"/>
        <v>38185</v>
      </c>
      <c r="Y705" s="169">
        <f t="shared" si="200"/>
        <v>305480</v>
      </c>
      <c r="Z705" s="287"/>
      <c r="AA705" s="287"/>
      <c r="AB705" s="287"/>
      <c r="AC705" s="287"/>
    </row>
    <row r="706" spans="1:29" ht="21.75" customHeight="1" x14ac:dyDescent="0.25">
      <c r="A706" s="284" t="s">
        <v>418</v>
      </c>
      <c r="B706" s="285"/>
      <c r="C706" s="285"/>
      <c r="D706" s="285"/>
      <c r="E706" s="285"/>
      <c r="F706" s="285"/>
      <c r="G706" s="285"/>
      <c r="H706" s="285"/>
      <c r="I706" s="285"/>
      <c r="J706" s="285"/>
      <c r="K706" s="285"/>
      <c r="L706" s="285"/>
      <c r="M706" s="285"/>
      <c r="N706" s="285"/>
      <c r="O706" s="285"/>
      <c r="P706" s="285"/>
      <c r="Q706" s="285"/>
      <c r="R706" s="285"/>
      <c r="S706" s="285"/>
      <c r="T706" s="285"/>
      <c r="U706" s="285"/>
      <c r="V706" s="285"/>
      <c r="W706" s="285"/>
      <c r="X706" s="285"/>
      <c r="Y706" s="286"/>
    </row>
    <row r="707" spans="1:29" ht="21.75" customHeight="1" x14ac:dyDescent="0.25">
      <c r="A707" s="59">
        <v>1</v>
      </c>
      <c r="B707" s="59" t="s">
        <v>419</v>
      </c>
      <c r="C707" s="134">
        <v>1</v>
      </c>
      <c r="D707" s="134">
        <v>10</v>
      </c>
      <c r="E707" s="163">
        <v>2157</v>
      </c>
      <c r="F707" s="186">
        <f t="shared" ref="F707:F716" si="201">E707*C707</f>
        <v>2157</v>
      </c>
      <c r="G707" s="186"/>
      <c r="H707" s="163"/>
      <c r="I707" s="163"/>
      <c r="J707" s="59"/>
      <c r="K707" s="59"/>
      <c r="L707" s="59"/>
      <c r="M707" s="59"/>
      <c r="N707" s="137"/>
      <c r="O707" s="59"/>
      <c r="P707" s="59"/>
      <c r="Q707" s="59"/>
      <c r="R707" s="59"/>
      <c r="S707" s="59"/>
      <c r="T707" s="59"/>
      <c r="U707" s="59"/>
      <c r="V707" s="59"/>
      <c r="W707" s="137">
        <f t="shared" ref="W707:W717" si="202">SUM(H707:V707)</f>
        <v>0</v>
      </c>
      <c r="X707" s="138">
        <f t="shared" ref="X707:X717" si="203">C707*E707+W707</f>
        <v>2157</v>
      </c>
      <c r="Y707" s="138">
        <f>X707*8</f>
        <v>17256</v>
      </c>
    </row>
    <row r="708" spans="1:29" ht="21.75" customHeight="1" x14ac:dyDescent="0.25">
      <c r="A708" s="59">
        <v>2</v>
      </c>
      <c r="B708" s="59" t="s">
        <v>343</v>
      </c>
      <c r="C708" s="134">
        <v>1</v>
      </c>
      <c r="D708" s="134">
        <v>5</v>
      </c>
      <c r="E708" s="163">
        <v>1612</v>
      </c>
      <c r="F708" s="186">
        <f t="shared" si="201"/>
        <v>1612</v>
      </c>
      <c r="G708" s="186"/>
      <c r="H708" s="163"/>
      <c r="I708" s="163"/>
      <c r="J708" s="59"/>
      <c r="K708" s="59"/>
      <c r="L708" s="59"/>
      <c r="M708" s="59"/>
      <c r="N708" s="137"/>
      <c r="O708" s="59"/>
      <c r="P708" s="59"/>
      <c r="Q708" s="59"/>
      <c r="R708" s="59"/>
      <c r="S708" s="59"/>
      <c r="T708" s="59"/>
      <c r="U708" s="59"/>
      <c r="V708" s="59"/>
      <c r="W708" s="137">
        <f t="shared" si="202"/>
        <v>0</v>
      </c>
      <c r="X708" s="138">
        <f t="shared" si="203"/>
        <v>1612</v>
      </c>
      <c r="Y708" s="138">
        <f t="shared" ref="Y708:Y717" si="204">X708*8</f>
        <v>12896</v>
      </c>
    </row>
    <row r="709" spans="1:29" ht="21.75" customHeight="1" x14ac:dyDescent="0.25">
      <c r="A709" s="59">
        <v>3</v>
      </c>
      <c r="B709" s="59" t="s">
        <v>174</v>
      </c>
      <c r="C709" s="134">
        <v>1</v>
      </c>
      <c r="D709" s="134">
        <v>5</v>
      </c>
      <c r="E709" s="163">
        <v>1612</v>
      </c>
      <c r="F709" s="186">
        <f t="shared" si="201"/>
        <v>1612</v>
      </c>
      <c r="G709" s="186"/>
      <c r="H709" s="163"/>
      <c r="I709" s="163"/>
      <c r="J709" s="59"/>
      <c r="K709" s="59"/>
      <c r="L709" s="59"/>
      <c r="M709" s="59"/>
      <c r="N709" s="137"/>
      <c r="O709" s="59"/>
      <c r="P709" s="59"/>
      <c r="Q709" s="59"/>
      <c r="R709" s="59"/>
      <c r="S709" s="59"/>
      <c r="T709" s="59"/>
      <c r="U709" s="59"/>
      <c r="V709" s="59"/>
      <c r="W709" s="137">
        <f t="shared" si="202"/>
        <v>0</v>
      </c>
      <c r="X709" s="138">
        <f t="shared" si="203"/>
        <v>1612</v>
      </c>
      <c r="Y709" s="138">
        <f t="shared" si="204"/>
        <v>12896</v>
      </c>
    </row>
    <row r="710" spans="1:29" ht="21.75" customHeight="1" x14ac:dyDescent="0.25">
      <c r="A710" s="59">
        <v>4</v>
      </c>
      <c r="B710" s="59" t="s">
        <v>140</v>
      </c>
      <c r="C710" s="134">
        <v>1</v>
      </c>
      <c r="D710" s="134">
        <v>5</v>
      </c>
      <c r="E710" s="163">
        <v>1612</v>
      </c>
      <c r="F710" s="186">
        <f>E710*C710</f>
        <v>1612</v>
      </c>
      <c r="G710" s="186"/>
      <c r="H710" s="163"/>
      <c r="I710" s="163"/>
      <c r="J710" s="59"/>
      <c r="K710" s="59"/>
      <c r="L710" s="59"/>
      <c r="M710" s="59"/>
      <c r="N710" s="137"/>
      <c r="O710" s="59"/>
      <c r="P710" s="59"/>
      <c r="Q710" s="59"/>
      <c r="R710" s="59"/>
      <c r="S710" s="59"/>
      <c r="T710" s="59"/>
      <c r="U710" s="59"/>
      <c r="V710" s="59"/>
      <c r="W710" s="137">
        <f t="shared" si="202"/>
        <v>0</v>
      </c>
      <c r="X710" s="138">
        <f t="shared" si="203"/>
        <v>1612</v>
      </c>
      <c r="Y710" s="138">
        <f t="shared" si="204"/>
        <v>12896</v>
      </c>
    </row>
    <row r="711" spans="1:29" ht="21.75" customHeight="1" x14ac:dyDescent="0.25">
      <c r="A711" s="59">
        <v>5</v>
      </c>
      <c r="B711" s="59" t="s">
        <v>178</v>
      </c>
      <c r="C711" s="134">
        <v>5</v>
      </c>
      <c r="D711" s="134">
        <v>5</v>
      </c>
      <c r="E711" s="163">
        <v>1612</v>
      </c>
      <c r="F711" s="186">
        <f t="shared" si="201"/>
        <v>8060</v>
      </c>
      <c r="G711" s="186"/>
      <c r="H711" s="163"/>
      <c r="I711" s="163"/>
      <c r="J711" s="59"/>
      <c r="K711" s="59"/>
      <c r="L711" s="59"/>
      <c r="M711" s="59"/>
      <c r="N711" s="137"/>
      <c r="O711" s="59"/>
      <c r="P711" s="59"/>
      <c r="Q711" s="59"/>
      <c r="R711" s="59"/>
      <c r="S711" s="59"/>
      <c r="T711" s="59"/>
      <c r="U711" s="59"/>
      <c r="V711" s="59"/>
      <c r="W711" s="137">
        <f t="shared" si="202"/>
        <v>0</v>
      </c>
      <c r="X711" s="138">
        <f t="shared" si="203"/>
        <v>8060</v>
      </c>
      <c r="Y711" s="138">
        <f t="shared" si="204"/>
        <v>64480</v>
      </c>
    </row>
    <row r="712" spans="1:29" ht="21.75" customHeight="1" x14ac:dyDescent="0.25">
      <c r="A712" s="59">
        <v>6</v>
      </c>
      <c r="B712" s="59" t="s">
        <v>179</v>
      </c>
      <c r="C712" s="134">
        <v>1</v>
      </c>
      <c r="D712" s="134">
        <v>4</v>
      </c>
      <c r="E712" s="163">
        <v>1543</v>
      </c>
      <c r="F712" s="186">
        <f t="shared" si="201"/>
        <v>1543</v>
      </c>
      <c r="G712" s="186"/>
      <c r="H712" s="163"/>
      <c r="I712" s="163"/>
      <c r="J712" s="59"/>
      <c r="K712" s="59"/>
      <c r="L712" s="59"/>
      <c r="M712" s="59"/>
      <c r="N712" s="137"/>
      <c r="O712" s="59"/>
      <c r="P712" s="59"/>
      <c r="Q712" s="59"/>
      <c r="R712" s="59"/>
      <c r="S712" s="59"/>
      <c r="T712" s="59"/>
      <c r="U712" s="59"/>
      <c r="V712" s="59"/>
      <c r="W712" s="137">
        <f t="shared" si="202"/>
        <v>0</v>
      </c>
      <c r="X712" s="138">
        <f t="shared" si="203"/>
        <v>1543</v>
      </c>
      <c r="Y712" s="138">
        <f t="shared" si="204"/>
        <v>12344</v>
      </c>
    </row>
    <row r="713" spans="1:29" ht="21.75" customHeight="1" x14ac:dyDescent="0.25">
      <c r="A713" s="59">
        <v>7</v>
      </c>
      <c r="B713" s="59" t="s">
        <v>208</v>
      </c>
      <c r="C713" s="134">
        <v>1</v>
      </c>
      <c r="D713" s="134">
        <v>3</v>
      </c>
      <c r="E713" s="163">
        <v>1532</v>
      </c>
      <c r="F713" s="186">
        <f t="shared" si="201"/>
        <v>1532</v>
      </c>
      <c r="G713" s="186"/>
      <c r="H713" s="163"/>
      <c r="I713" s="163"/>
      <c r="J713" s="59"/>
      <c r="K713" s="59"/>
      <c r="L713" s="59"/>
      <c r="M713" s="59"/>
      <c r="N713" s="137"/>
      <c r="O713" s="59"/>
      <c r="P713" s="59"/>
      <c r="Q713" s="59"/>
      <c r="R713" s="59"/>
      <c r="S713" s="59"/>
      <c r="T713" s="59"/>
      <c r="U713" s="59"/>
      <c r="V713" s="59"/>
      <c r="W713" s="137">
        <f t="shared" si="202"/>
        <v>0</v>
      </c>
      <c r="X713" s="138">
        <f t="shared" si="203"/>
        <v>1532</v>
      </c>
      <c r="Y713" s="138">
        <f t="shared" si="204"/>
        <v>12256</v>
      </c>
    </row>
    <row r="714" spans="1:29" ht="21.75" customHeight="1" x14ac:dyDescent="0.25">
      <c r="A714" s="59">
        <v>8</v>
      </c>
      <c r="B714" s="59" t="s">
        <v>180</v>
      </c>
      <c r="C714" s="134">
        <v>2</v>
      </c>
      <c r="D714" s="134">
        <v>3</v>
      </c>
      <c r="E714" s="163">
        <v>1532</v>
      </c>
      <c r="F714" s="186">
        <f>E714*C714</f>
        <v>3064</v>
      </c>
      <c r="G714" s="186"/>
      <c r="H714" s="163"/>
      <c r="I714" s="163"/>
      <c r="J714" s="59"/>
      <c r="K714" s="59"/>
      <c r="L714" s="59"/>
      <c r="M714" s="59"/>
      <c r="N714" s="137"/>
      <c r="O714" s="59"/>
      <c r="P714" s="59"/>
      <c r="Q714" s="59"/>
      <c r="R714" s="59"/>
      <c r="S714" s="59"/>
      <c r="T714" s="59"/>
      <c r="U714" s="59"/>
      <c r="V714" s="59"/>
      <c r="W714" s="137">
        <f t="shared" si="202"/>
        <v>0</v>
      </c>
      <c r="X714" s="138">
        <f t="shared" si="203"/>
        <v>3064</v>
      </c>
      <c r="Y714" s="138">
        <f t="shared" si="204"/>
        <v>24512</v>
      </c>
    </row>
    <row r="715" spans="1:29" ht="21.75" customHeight="1" x14ac:dyDescent="0.25">
      <c r="A715" s="59">
        <v>9</v>
      </c>
      <c r="B715" s="59" t="s">
        <v>356</v>
      </c>
      <c r="C715" s="134">
        <v>1</v>
      </c>
      <c r="D715" s="134">
        <v>1</v>
      </c>
      <c r="E715" s="163">
        <v>1516</v>
      </c>
      <c r="F715" s="186">
        <f t="shared" si="201"/>
        <v>1516</v>
      </c>
      <c r="G715" s="186"/>
      <c r="H715" s="163"/>
      <c r="I715" s="163"/>
      <c r="J715" s="59"/>
      <c r="K715" s="59"/>
      <c r="L715" s="59"/>
      <c r="M715" s="59"/>
      <c r="N715" s="137"/>
      <c r="O715" s="59"/>
      <c r="P715" s="59"/>
      <c r="Q715" s="59"/>
      <c r="R715" s="59"/>
      <c r="S715" s="59"/>
      <c r="T715" s="59"/>
      <c r="U715" s="59"/>
      <c r="V715" s="59"/>
      <c r="W715" s="137">
        <f t="shared" si="202"/>
        <v>0</v>
      </c>
      <c r="X715" s="138">
        <f t="shared" si="203"/>
        <v>1516</v>
      </c>
      <c r="Y715" s="138">
        <f t="shared" si="204"/>
        <v>12128</v>
      </c>
    </row>
    <row r="716" spans="1:29" ht="21.75" customHeight="1" x14ac:dyDescent="0.25">
      <c r="A716" s="59">
        <v>10</v>
      </c>
      <c r="B716" s="59" t="s">
        <v>177</v>
      </c>
      <c r="C716" s="134">
        <v>11</v>
      </c>
      <c r="D716" s="134">
        <v>1</v>
      </c>
      <c r="E716" s="163">
        <v>1516</v>
      </c>
      <c r="F716" s="186">
        <f t="shared" si="201"/>
        <v>16676</v>
      </c>
      <c r="G716" s="186"/>
      <c r="H716" s="163"/>
      <c r="I716" s="163"/>
      <c r="J716" s="59"/>
      <c r="K716" s="59"/>
      <c r="L716" s="59"/>
      <c r="M716" s="59"/>
      <c r="N716" s="137"/>
      <c r="O716" s="59"/>
      <c r="P716" s="59"/>
      <c r="Q716" s="59"/>
      <c r="R716" s="59"/>
      <c r="S716" s="59"/>
      <c r="T716" s="59"/>
      <c r="U716" s="59"/>
      <c r="V716" s="59"/>
      <c r="W716" s="137">
        <f t="shared" si="202"/>
        <v>0</v>
      </c>
      <c r="X716" s="138">
        <f t="shared" si="203"/>
        <v>16676</v>
      </c>
      <c r="Y716" s="138">
        <f t="shared" si="204"/>
        <v>133408</v>
      </c>
    </row>
    <row r="717" spans="1:29" ht="21.75" customHeight="1" x14ac:dyDescent="0.25">
      <c r="A717" s="59">
        <v>11</v>
      </c>
      <c r="B717" s="59" t="s">
        <v>420</v>
      </c>
      <c r="C717" s="134">
        <v>1</v>
      </c>
      <c r="D717" s="134">
        <v>4</v>
      </c>
      <c r="E717" s="163">
        <v>1543</v>
      </c>
      <c r="F717" s="186">
        <f>E717*C717</f>
        <v>1543</v>
      </c>
      <c r="G717" s="186"/>
      <c r="H717" s="163"/>
      <c r="I717" s="163"/>
      <c r="J717" s="59"/>
      <c r="K717" s="59"/>
      <c r="L717" s="59"/>
      <c r="M717" s="59"/>
      <c r="N717" s="137"/>
      <c r="O717" s="59"/>
      <c r="P717" s="59"/>
      <c r="Q717" s="59"/>
      <c r="R717" s="59"/>
      <c r="S717" s="59"/>
      <c r="T717" s="59"/>
      <c r="U717" s="59"/>
      <c r="V717" s="59"/>
      <c r="W717" s="137">
        <f t="shared" si="202"/>
        <v>0</v>
      </c>
      <c r="X717" s="138">
        <f t="shared" si="203"/>
        <v>1543</v>
      </c>
      <c r="Y717" s="138">
        <f t="shared" si="204"/>
        <v>12344</v>
      </c>
    </row>
    <row r="718" spans="1:29" ht="21.75" customHeight="1" x14ac:dyDescent="0.25">
      <c r="A718" s="59"/>
      <c r="B718" s="59"/>
      <c r="C718" s="177">
        <f>SUM(C707:C717)</f>
        <v>26</v>
      </c>
      <c r="D718" s="177"/>
      <c r="E718" s="59"/>
      <c r="F718" s="169">
        <f>SUM(F707:F717)</f>
        <v>40927</v>
      </c>
      <c r="G718" s="169"/>
      <c r="H718" s="177">
        <f t="shared" ref="H718:W718" si="205">SUM(H708:H717)</f>
        <v>0</v>
      </c>
      <c r="I718" s="177">
        <f t="shared" si="205"/>
        <v>0</v>
      </c>
      <c r="J718" s="177">
        <f t="shared" si="205"/>
        <v>0</v>
      </c>
      <c r="K718" s="177">
        <f t="shared" si="205"/>
        <v>0</v>
      </c>
      <c r="L718" s="177">
        <f t="shared" si="205"/>
        <v>0</v>
      </c>
      <c r="M718" s="177">
        <f t="shared" si="205"/>
        <v>0</v>
      </c>
      <c r="N718" s="177">
        <f t="shared" si="205"/>
        <v>0</v>
      </c>
      <c r="O718" s="177">
        <f t="shared" si="205"/>
        <v>0</v>
      </c>
      <c r="P718" s="177">
        <f t="shared" si="205"/>
        <v>0</v>
      </c>
      <c r="Q718" s="177">
        <f t="shared" si="205"/>
        <v>0</v>
      </c>
      <c r="R718" s="177">
        <f t="shared" si="205"/>
        <v>0</v>
      </c>
      <c r="S718" s="177">
        <f t="shared" si="205"/>
        <v>0</v>
      </c>
      <c r="T718" s="177">
        <f t="shared" si="205"/>
        <v>0</v>
      </c>
      <c r="U718" s="177">
        <f t="shared" si="205"/>
        <v>0</v>
      </c>
      <c r="V718" s="177">
        <f t="shared" si="205"/>
        <v>0</v>
      </c>
      <c r="W718" s="177">
        <f t="shared" si="205"/>
        <v>0</v>
      </c>
      <c r="X718" s="169">
        <f>SUM(X707:X717)</f>
        <v>40927</v>
      </c>
      <c r="Y718" s="169">
        <f>SUM(Y707:Y717)</f>
        <v>327416</v>
      </c>
    </row>
    <row r="719" spans="1:29" ht="22.5" customHeight="1" x14ac:dyDescent="0.25">
      <c r="A719" s="284" t="s">
        <v>421</v>
      </c>
      <c r="B719" s="285"/>
      <c r="C719" s="285"/>
      <c r="D719" s="285"/>
      <c r="E719" s="285"/>
      <c r="F719" s="285"/>
      <c r="G719" s="285"/>
      <c r="H719" s="285"/>
      <c r="I719" s="285"/>
      <c r="J719" s="285"/>
      <c r="K719" s="285"/>
      <c r="L719" s="285"/>
      <c r="M719" s="285"/>
      <c r="N719" s="285"/>
      <c r="O719" s="285"/>
      <c r="P719" s="285"/>
      <c r="Q719" s="285"/>
      <c r="R719" s="285"/>
      <c r="S719" s="285"/>
      <c r="T719" s="285"/>
      <c r="U719" s="285"/>
      <c r="V719" s="285"/>
      <c r="W719" s="285"/>
      <c r="X719" s="285"/>
      <c r="Y719" s="286"/>
    </row>
    <row r="720" spans="1:29" ht="22.5" customHeight="1" x14ac:dyDescent="0.25">
      <c r="A720" s="59">
        <v>1</v>
      </c>
      <c r="B720" s="59" t="s">
        <v>229</v>
      </c>
      <c r="C720" s="134">
        <v>1</v>
      </c>
      <c r="D720" s="134">
        <v>10</v>
      </c>
      <c r="E720" s="163">
        <v>2157</v>
      </c>
      <c r="F720" s="186">
        <f t="shared" ref="F720:F739" si="206">E720*C720</f>
        <v>2157</v>
      </c>
      <c r="G720" s="186"/>
      <c r="H720" s="163"/>
      <c r="I720" s="163"/>
      <c r="J720" s="137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137">
        <f t="shared" ref="W720:W739" si="207">SUM(H720:V720)</f>
        <v>0</v>
      </c>
      <c r="X720" s="138">
        <f t="shared" ref="X720:X739" si="208">E720*C720+W720</f>
        <v>2157</v>
      </c>
      <c r="Y720" s="138">
        <f>X720*8</f>
        <v>17256</v>
      </c>
    </row>
    <row r="721" spans="1:25" ht="22.5" customHeight="1" x14ac:dyDescent="0.25">
      <c r="A721" s="59">
        <v>2</v>
      </c>
      <c r="B721" s="59" t="s">
        <v>155</v>
      </c>
      <c r="C721" s="134">
        <v>1</v>
      </c>
      <c r="D721" s="134">
        <v>9</v>
      </c>
      <c r="E721" s="163">
        <v>2050</v>
      </c>
      <c r="F721" s="186">
        <f t="shared" si="206"/>
        <v>2050</v>
      </c>
      <c r="G721" s="186"/>
      <c r="H721" s="163"/>
      <c r="I721" s="163"/>
      <c r="J721" s="137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137">
        <f t="shared" si="207"/>
        <v>0</v>
      </c>
      <c r="X721" s="138">
        <f t="shared" si="208"/>
        <v>2050</v>
      </c>
      <c r="Y721" s="138">
        <f t="shared" ref="Y721:Y739" si="209">X721*8</f>
        <v>16400</v>
      </c>
    </row>
    <row r="722" spans="1:25" ht="22.5" customHeight="1" x14ac:dyDescent="0.25">
      <c r="A722" s="59">
        <v>3</v>
      </c>
      <c r="B722" s="59" t="s">
        <v>156</v>
      </c>
      <c r="C722" s="134">
        <v>2</v>
      </c>
      <c r="D722" s="134">
        <v>8</v>
      </c>
      <c r="E722" s="163">
        <v>1943</v>
      </c>
      <c r="F722" s="186">
        <f t="shared" si="206"/>
        <v>3886</v>
      </c>
      <c r="G722" s="186"/>
      <c r="H722" s="163"/>
      <c r="I722" s="163"/>
      <c r="J722" s="137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137">
        <f t="shared" si="207"/>
        <v>0</v>
      </c>
      <c r="X722" s="138">
        <f t="shared" si="208"/>
        <v>3886</v>
      </c>
      <c r="Y722" s="138">
        <f t="shared" si="209"/>
        <v>31088</v>
      </c>
    </row>
    <row r="723" spans="1:25" ht="22.5" customHeight="1" x14ac:dyDescent="0.25">
      <c r="A723" s="59">
        <v>4</v>
      </c>
      <c r="B723" s="59" t="s">
        <v>314</v>
      </c>
      <c r="C723" s="134">
        <v>1</v>
      </c>
      <c r="D723" s="134">
        <v>5</v>
      </c>
      <c r="E723" s="163">
        <v>1612</v>
      </c>
      <c r="F723" s="186">
        <f t="shared" si="206"/>
        <v>1612</v>
      </c>
      <c r="G723" s="186"/>
      <c r="H723" s="163"/>
      <c r="I723" s="163"/>
      <c r="J723" s="137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137">
        <f t="shared" si="207"/>
        <v>0</v>
      </c>
      <c r="X723" s="138">
        <f t="shared" si="208"/>
        <v>1612</v>
      </c>
      <c r="Y723" s="138">
        <f t="shared" si="209"/>
        <v>12896</v>
      </c>
    </row>
    <row r="724" spans="1:25" ht="22.5" customHeight="1" x14ac:dyDescent="0.25">
      <c r="A724" s="59">
        <v>5</v>
      </c>
      <c r="B724" s="59" t="s">
        <v>422</v>
      </c>
      <c r="C724" s="134">
        <v>1</v>
      </c>
      <c r="D724" s="134">
        <v>6</v>
      </c>
      <c r="E724" s="163">
        <v>1718</v>
      </c>
      <c r="F724" s="186">
        <f t="shared" si="206"/>
        <v>1718</v>
      </c>
      <c r="G724" s="186"/>
      <c r="H724" s="163"/>
      <c r="I724" s="163"/>
      <c r="J724" s="137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137">
        <f t="shared" si="207"/>
        <v>0</v>
      </c>
      <c r="X724" s="138">
        <f t="shared" si="208"/>
        <v>1718</v>
      </c>
      <c r="Y724" s="138">
        <f t="shared" si="209"/>
        <v>13744</v>
      </c>
    </row>
    <row r="725" spans="1:25" ht="22.5" customHeight="1" x14ac:dyDescent="0.25">
      <c r="A725" s="59">
        <v>6</v>
      </c>
      <c r="B725" s="59" t="s">
        <v>423</v>
      </c>
      <c r="C725" s="134">
        <v>1</v>
      </c>
      <c r="D725" s="134">
        <v>5</v>
      </c>
      <c r="E725" s="163">
        <v>1612</v>
      </c>
      <c r="F725" s="186">
        <f t="shared" si="206"/>
        <v>1612</v>
      </c>
      <c r="G725" s="186"/>
      <c r="H725" s="163"/>
      <c r="I725" s="163"/>
      <c r="J725" s="137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137">
        <f t="shared" si="207"/>
        <v>0</v>
      </c>
      <c r="X725" s="138">
        <f t="shared" si="208"/>
        <v>1612</v>
      </c>
      <c r="Y725" s="138">
        <f t="shared" si="209"/>
        <v>12896</v>
      </c>
    </row>
    <row r="726" spans="1:25" ht="22.5" customHeight="1" x14ac:dyDescent="0.25">
      <c r="A726" s="59">
        <v>7</v>
      </c>
      <c r="B726" s="59" t="s">
        <v>424</v>
      </c>
      <c r="C726" s="134">
        <v>2</v>
      </c>
      <c r="D726" s="134">
        <v>5</v>
      </c>
      <c r="E726" s="163">
        <v>1612</v>
      </c>
      <c r="F726" s="186">
        <f t="shared" si="206"/>
        <v>3224</v>
      </c>
      <c r="G726" s="186"/>
      <c r="H726" s="163"/>
      <c r="I726" s="163"/>
      <c r="J726" s="137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137">
        <f t="shared" si="207"/>
        <v>0</v>
      </c>
      <c r="X726" s="138">
        <f t="shared" si="208"/>
        <v>3224</v>
      </c>
      <c r="Y726" s="138">
        <f t="shared" si="209"/>
        <v>25792</v>
      </c>
    </row>
    <row r="727" spans="1:25" ht="22.5" customHeight="1" x14ac:dyDescent="0.25">
      <c r="A727" s="59">
        <v>8</v>
      </c>
      <c r="B727" s="59" t="s">
        <v>425</v>
      </c>
      <c r="C727" s="134">
        <v>1</v>
      </c>
      <c r="D727" s="134">
        <v>5</v>
      </c>
      <c r="E727" s="163">
        <v>1612</v>
      </c>
      <c r="F727" s="186">
        <f t="shared" si="206"/>
        <v>1612</v>
      </c>
      <c r="G727" s="186"/>
      <c r="H727" s="163"/>
      <c r="I727" s="163"/>
      <c r="J727" s="137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137">
        <f t="shared" si="207"/>
        <v>0</v>
      </c>
      <c r="X727" s="138">
        <f t="shared" si="208"/>
        <v>1612</v>
      </c>
      <c r="Y727" s="138">
        <f t="shared" si="209"/>
        <v>12896</v>
      </c>
    </row>
    <row r="728" spans="1:25" ht="22.5" customHeight="1" x14ac:dyDescent="0.25">
      <c r="A728" s="59">
        <v>9</v>
      </c>
      <c r="B728" s="59" t="s">
        <v>426</v>
      </c>
      <c r="C728" s="134">
        <v>1</v>
      </c>
      <c r="D728" s="134">
        <v>4</v>
      </c>
      <c r="E728" s="163">
        <v>1543</v>
      </c>
      <c r="F728" s="186">
        <f t="shared" si="206"/>
        <v>1543</v>
      </c>
      <c r="G728" s="186"/>
      <c r="H728" s="163"/>
      <c r="I728" s="163"/>
      <c r="J728" s="137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137">
        <f t="shared" si="207"/>
        <v>0</v>
      </c>
      <c r="X728" s="138">
        <f t="shared" si="208"/>
        <v>1543</v>
      </c>
      <c r="Y728" s="138">
        <f t="shared" si="209"/>
        <v>12344</v>
      </c>
    </row>
    <row r="729" spans="1:25" ht="22.5" customHeight="1" x14ac:dyDescent="0.25">
      <c r="A729" s="59">
        <v>10</v>
      </c>
      <c r="B729" s="59" t="s">
        <v>427</v>
      </c>
      <c r="C729" s="134">
        <f>2+1</f>
        <v>3</v>
      </c>
      <c r="D729" s="134">
        <v>4</v>
      </c>
      <c r="E729" s="163">
        <v>1543</v>
      </c>
      <c r="F729" s="186">
        <f t="shared" si="206"/>
        <v>4629</v>
      </c>
      <c r="G729" s="186"/>
      <c r="H729" s="163"/>
      <c r="I729" s="163"/>
      <c r="J729" s="137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137">
        <f t="shared" si="207"/>
        <v>0</v>
      </c>
      <c r="X729" s="138">
        <f t="shared" si="208"/>
        <v>4629</v>
      </c>
      <c r="Y729" s="138">
        <f t="shared" si="209"/>
        <v>37032</v>
      </c>
    </row>
    <row r="730" spans="1:25" ht="22.5" customHeight="1" x14ac:dyDescent="0.25">
      <c r="A730" s="59">
        <v>11</v>
      </c>
      <c r="B730" s="59" t="s">
        <v>428</v>
      </c>
      <c r="C730" s="134">
        <v>2</v>
      </c>
      <c r="D730" s="134">
        <v>3</v>
      </c>
      <c r="E730" s="163">
        <v>1532</v>
      </c>
      <c r="F730" s="186">
        <f t="shared" si="206"/>
        <v>3064</v>
      </c>
      <c r="G730" s="186"/>
      <c r="H730" s="163"/>
      <c r="I730" s="163"/>
      <c r="J730" s="137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137">
        <f t="shared" si="207"/>
        <v>0</v>
      </c>
      <c r="X730" s="138">
        <f t="shared" si="208"/>
        <v>3064</v>
      </c>
      <c r="Y730" s="138">
        <f t="shared" si="209"/>
        <v>24512</v>
      </c>
    </row>
    <row r="731" spans="1:25" ht="22.5" customHeight="1" x14ac:dyDescent="0.25">
      <c r="A731" s="59">
        <v>12</v>
      </c>
      <c r="B731" s="59" t="s">
        <v>429</v>
      </c>
      <c r="C731" s="134">
        <v>5</v>
      </c>
      <c r="D731" s="134">
        <v>3</v>
      </c>
      <c r="E731" s="163">
        <v>1532</v>
      </c>
      <c r="F731" s="186">
        <f t="shared" si="206"/>
        <v>7660</v>
      </c>
      <c r="G731" s="186"/>
      <c r="H731" s="163"/>
      <c r="I731" s="163"/>
      <c r="J731" s="137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137">
        <f t="shared" si="207"/>
        <v>0</v>
      </c>
      <c r="X731" s="138">
        <f t="shared" si="208"/>
        <v>7660</v>
      </c>
      <c r="Y731" s="138">
        <f t="shared" si="209"/>
        <v>61280</v>
      </c>
    </row>
    <row r="732" spans="1:25" ht="22.5" customHeight="1" x14ac:dyDescent="0.25">
      <c r="A732" s="59">
        <v>13</v>
      </c>
      <c r="B732" s="59" t="s">
        <v>430</v>
      </c>
      <c r="C732" s="134">
        <v>1</v>
      </c>
      <c r="D732" s="134">
        <v>2</v>
      </c>
      <c r="E732" s="163">
        <v>1521</v>
      </c>
      <c r="F732" s="186">
        <f t="shared" si="206"/>
        <v>1521</v>
      </c>
      <c r="G732" s="186"/>
      <c r="H732" s="163"/>
      <c r="I732" s="163"/>
      <c r="J732" s="137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137">
        <f t="shared" si="207"/>
        <v>0</v>
      </c>
      <c r="X732" s="138">
        <f t="shared" si="208"/>
        <v>1521</v>
      </c>
      <c r="Y732" s="138">
        <f t="shared" si="209"/>
        <v>12168</v>
      </c>
    </row>
    <row r="733" spans="1:25" ht="22.5" customHeight="1" x14ac:dyDescent="0.25">
      <c r="A733" s="59">
        <v>14</v>
      </c>
      <c r="B733" s="59" t="s">
        <v>431</v>
      </c>
      <c r="C733" s="134">
        <v>8</v>
      </c>
      <c r="D733" s="134">
        <v>2</v>
      </c>
      <c r="E733" s="163">
        <v>1521</v>
      </c>
      <c r="F733" s="186">
        <f t="shared" si="206"/>
        <v>12168</v>
      </c>
      <c r="G733" s="186"/>
      <c r="H733" s="163"/>
      <c r="I733" s="163"/>
      <c r="J733" s="137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137">
        <f t="shared" si="207"/>
        <v>0</v>
      </c>
      <c r="X733" s="138">
        <f t="shared" si="208"/>
        <v>12168</v>
      </c>
      <c r="Y733" s="138">
        <f t="shared" si="209"/>
        <v>97344</v>
      </c>
    </row>
    <row r="734" spans="1:25" ht="22.5" customHeight="1" x14ac:dyDescent="0.25">
      <c r="A734" s="59">
        <v>15</v>
      </c>
      <c r="B734" s="59" t="s">
        <v>432</v>
      </c>
      <c r="C734" s="134">
        <v>2</v>
      </c>
      <c r="D734" s="134">
        <v>2</v>
      </c>
      <c r="E734" s="163">
        <v>1521</v>
      </c>
      <c r="F734" s="186">
        <f t="shared" si="206"/>
        <v>3042</v>
      </c>
      <c r="G734" s="186"/>
      <c r="H734" s="163"/>
      <c r="I734" s="163"/>
      <c r="J734" s="137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137">
        <f t="shared" si="207"/>
        <v>0</v>
      </c>
      <c r="X734" s="138">
        <f t="shared" si="208"/>
        <v>3042</v>
      </c>
      <c r="Y734" s="138">
        <f t="shared" si="209"/>
        <v>24336</v>
      </c>
    </row>
    <row r="735" spans="1:25" ht="22.5" customHeight="1" x14ac:dyDescent="0.25">
      <c r="A735" s="59">
        <v>16</v>
      </c>
      <c r="B735" s="59" t="s">
        <v>433</v>
      </c>
      <c r="C735" s="134">
        <v>1</v>
      </c>
      <c r="D735" s="134">
        <v>6</v>
      </c>
      <c r="E735" s="163">
        <v>1718</v>
      </c>
      <c r="F735" s="186">
        <f t="shared" si="206"/>
        <v>1718</v>
      </c>
      <c r="G735" s="186"/>
      <c r="H735" s="163"/>
      <c r="I735" s="163"/>
      <c r="J735" s="137"/>
      <c r="K735" s="59"/>
      <c r="L735" s="59"/>
      <c r="M735" s="59"/>
      <c r="N735" s="59"/>
      <c r="O735" s="59"/>
      <c r="P735" s="59"/>
      <c r="Q735" s="59"/>
      <c r="R735" s="59"/>
      <c r="S735" s="59"/>
      <c r="T735" s="59">
        <f>ROUNDUP(F735*8%,0)</f>
        <v>138</v>
      </c>
      <c r="U735" s="59"/>
      <c r="V735" s="59">
        <f>ROUNDUP(F735*20%,0)</f>
        <v>344</v>
      </c>
      <c r="W735" s="137">
        <f t="shared" si="207"/>
        <v>482</v>
      </c>
      <c r="X735" s="138">
        <f t="shared" si="208"/>
        <v>2200</v>
      </c>
      <c r="Y735" s="138">
        <f t="shared" si="209"/>
        <v>17600</v>
      </c>
    </row>
    <row r="736" spans="1:25" ht="22.5" customHeight="1" x14ac:dyDescent="0.25">
      <c r="A736" s="59">
        <v>17</v>
      </c>
      <c r="B736" s="59" t="s">
        <v>434</v>
      </c>
      <c r="C736" s="134">
        <f>4+1</f>
        <v>5</v>
      </c>
      <c r="D736" s="134">
        <v>5</v>
      </c>
      <c r="E736" s="163">
        <v>1612</v>
      </c>
      <c r="F736" s="186">
        <f t="shared" si="206"/>
        <v>8060</v>
      </c>
      <c r="G736" s="186"/>
      <c r="H736" s="163"/>
      <c r="I736" s="163"/>
      <c r="J736" s="137"/>
      <c r="K736" s="59"/>
      <c r="L736" s="59"/>
      <c r="M736" s="59"/>
      <c r="N736" s="59"/>
      <c r="O736" s="59"/>
      <c r="P736" s="59"/>
      <c r="Q736" s="59"/>
      <c r="R736" s="59"/>
      <c r="S736" s="59"/>
      <c r="T736" s="59">
        <f>ROUNDUP(F736*8%,0)</f>
        <v>645</v>
      </c>
      <c r="U736" s="59"/>
      <c r="V736" s="59"/>
      <c r="W736" s="137">
        <f t="shared" si="207"/>
        <v>645</v>
      </c>
      <c r="X736" s="138">
        <f t="shared" si="208"/>
        <v>8705</v>
      </c>
      <c r="Y736" s="138">
        <f t="shared" si="209"/>
        <v>69640</v>
      </c>
    </row>
    <row r="737" spans="1:29" ht="22.5" customHeight="1" x14ac:dyDescent="0.25">
      <c r="A737" s="59">
        <v>18</v>
      </c>
      <c r="B737" s="59" t="s">
        <v>435</v>
      </c>
      <c r="C737" s="134">
        <v>1</v>
      </c>
      <c r="D737" s="134">
        <v>4</v>
      </c>
      <c r="E737" s="163">
        <v>1543</v>
      </c>
      <c r="F737" s="186">
        <f t="shared" si="206"/>
        <v>1543</v>
      </c>
      <c r="G737" s="186"/>
      <c r="H737" s="163"/>
      <c r="I737" s="163"/>
      <c r="J737" s="137"/>
      <c r="K737" s="59"/>
      <c r="L737" s="59"/>
      <c r="M737" s="59"/>
      <c r="N737" s="59"/>
      <c r="O737" s="59"/>
      <c r="P737" s="59"/>
      <c r="Q737" s="59"/>
      <c r="R737" s="59"/>
      <c r="S737" s="59"/>
      <c r="T737" s="59">
        <f>ROUNDUP(F737*8%,0)</f>
        <v>124</v>
      </c>
      <c r="U737" s="59"/>
      <c r="V737" s="59"/>
      <c r="W737" s="137">
        <f t="shared" si="207"/>
        <v>124</v>
      </c>
      <c r="X737" s="138">
        <f t="shared" si="208"/>
        <v>1667</v>
      </c>
      <c r="Y737" s="138">
        <f t="shared" si="209"/>
        <v>13336</v>
      </c>
    </row>
    <row r="738" spans="1:29" ht="22.5" customHeight="1" x14ac:dyDescent="0.25">
      <c r="A738" s="59">
        <v>19</v>
      </c>
      <c r="B738" s="59" t="s">
        <v>436</v>
      </c>
      <c r="C738" s="134">
        <v>1</v>
      </c>
      <c r="D738" s="134">
        <v>3</v>
      </c>
      <c r="E738" s="163">
        <v>1532</v>
      </c>
      <c r="F738" s="186">
        <f>E738*C738</f>
        <v>1532</v>
      </c>
      <c r="G738" s="186"/>
      <c r="H738" s="163"/>
      <c r="I738" s="163"/>
      <c r="J738" s="137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137">
        <f>SUM(H738:V738)</f>
        <v>0</v>
      </c>
      <c r="X738" s="138">
        <f>E738*C738+W738</f>
        <v>1532</v>
      </c>
      <c r="Y738" s="138">
        <f t="shared" si="209"/>
        <v>12256</v>
      </c>
    </row>
    <row r="739" spans="1:29" ht="22.5" customHeight="1" x14ac:dyDescent="0.25">
      <c r="A739" s="59">
        <v>20</v>
      </c>
      <c r="B739" s="59" t="s">
        <v>317</v>
      </c>
      <c r="C739" s="134">
        <v>1</v>
      </c>
      <c r="D739" s="134">
        <v>2</v>
      </c>
      <c r="E739" s="163">
        <v>1521</v>
      </c>
      <c r="F739" s="186">
        <f t="shared" si="206"/>
        <v>1521</v>
      </c>
      <c r="G739" s="186"/>
      <c r="H739" s="163"/>
      <c r="I739" s="163"/>
      <c r="J739" s="137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137">
        <f t="shared" si="207"/>
        <v>0</v>
      </c>
      <c r="X739" s="138">
        <f t="shared" si="208"/>
        <v>1521</v>
      </c>
      <c r="Y739" s="138">
        <f t="shared" si="209"/>
        <v>12168</v>
      </c>
    </row>
    <row r="740" spans="1:29" ht="22.5" customHeight="1" x14ac:dyDescent="0.25">
      <c r="A740" s="59"/>
      <c r="B740" s="59"/>
      <c r="C740" s="177">
        <f>SUM(C720:C739)</f>
        <v>41</v>
      </c>
      <c r="D740" s="137"/>
      <c r="E740" s="59"/>
      <c r="F740" s="201">
        <f>SUM(F720:F739)</f>
        <v>65872</v>
      </c>
      <c r="G740" s="201"/>
      <c r="H740" s="184">
        <f t="shared" ref="H740:V740" si="210">SUM(H720:H739)</f>
        <v>0</v>
      </c>
      <c r="I740" s="184">
        <f t="shared" si="210"/>
        <v>0</v>
      </c>
      <c r="J740" s="184">
        <f t="shared" si="210"/>
        <v>0</v>
      </c>
      <c r="K740" s="184">
        <f t="shared" si="210"/>
        <v>0</v>
      </c>
      <c r="L740" s="184">
        <f t="shared" si="210"/>
        <v>0</v>
      </c>
      <c r="M740" s="184">
        <f t="shared" si="210"/>
        <v>0</v>
      </c>
      <c r="N740" s="184">
        <f t="shared" si="210"/>
        <v>0</v>
      </c>
      <c r="O740" s="184">
        <f t="shared" si="210"/>
        <v>0</v>
      </c>
      <c r="P740" s="184">
        <f t="shared" si="210"/>
        <v>0</v>
      </c>
      <c r="Q740" s="184">
        <f t="shared" si="210"/>
        <v>0</v>
      </c>
      <c r="R740" s="184">
        <f t="shared" si="210"/>
        <v>0</v>
      </c>
      <c r="S740" s="184">
        <f t="shared" si="210"/>
        <v>0</v>
      </c>
      <c r="T740" s="184">
        <f t="shared" si="210"/>
        <v>907</v>
      </c>
      <c r="U740" s="184">
        <f t="shared" si="210"/>
        <v>0</v>
      </c>
      <c r="V740" s="184">
        <f t="shared" si="210"/>
        <v>344</v>
      </c>
      <c r="W740" s="184">
        <f>SUM(W720:W739)</f>
        <v>1251</v>
      </c>
      <c r="X740" s="169">
        <f>SUM(X720:X739)</f>
        <v>67123</v>
      </c>
      <c r="Y740" s="169">
        <f>SUM(Y720:Y739)</f>
        <v>536984</v>
      </c>
    </row>
    <row r="741" spans="1:29" ht="22.5" customHeight="1" x14ac:dyDescent="0.25">
      <c r="A741" s="284" t="s">
        <v>437</v>
      </c>
      <c r="B741" s="285"/>
      <c r="C741" s="285"/>
      <c r="D741" s="285"/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5"/>
      <c r="P741" s="285"/>
      <c r="Q741" s="285"/>
      <c r="R741" s="285"/>
      <c r="S741" s="285"/>
      <c r="T741" s="285"/>
      <c r="U741" s="285"/>
      <c r="V741" s="285"/>
      <c r="W741" s="285"/>
      <c r="X741" s="285"/>
      <c r="Y741" s="286"/>
    </row>
    <row r="742" spans="1:29" ht="22.5" customHeight="1" x14ac:dyDescent="0.25">
      <c r="A742" s="137">
        <v>1</v>
      </c>
      <c r="B742" s="59" t="s">
        <v>438</v>
      </c>
      <c r="C742" s="137">
        <v>1</v>
      </c>
      <c r="D742" s="137">
        <v>10</v>
      </c>
      <c r="E742" s="163">
        <v>2157</v>
      </c>
      <c r="F742" s="186">
        <f t="shared" ref="F742:F750" si="211">E742*C742</f>
        <v>2157</v>
      </c>
      <c r="G742" s="186"/>
      <c r="H742" s="163"/>
      <c r="I742" s="163"/>
      <c r="J742" s="137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37">
        <f t="shared" ref="W742:W750" si="212">SUM(H742:V742)</f>
        <v>0</v>
      </c>
      <c r="X742" s="138">
        <f t="shared" ref="X742:X750" si="213">C742*E742+W742</f>
        <v>2157</v>
      </c>
      <c r="Y742" s="138">
        <f>X742*8</f>
        <v>17256</v>
      </c>
    </row>
    <row r="743" spans="1:29" ht="22.5" customHeight="1" x14ac:dyDescent="0.25">
      <c r="A743" s="137">
        <v>2</v>
      </c>
      <c r="B743" s="59" t="s">
        <v>439</v>
      </c>
      <c r="C743" s="137">
        <v>1</v>
      </c>
      <c r="D743" s="137"/>
      <c r="E743" s="163">
        <v>1941</v>
      </c>
      <c r="F743" s="186">
        <f t="shared" si="211"/>
        <v>1941</v>
      </c>
      <c r="G743" s="186"/>
      <c r="H743" s="163"/>
      <c r="I743" s="163"/>
      <c r="J743" s="152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37">
        <f t="shared" si="212"/>
        <v>0</v>
      </c>
      <c r="X743" s="138">
        <f t="shared" si="213"/>
        <v>1941</v>
      </c>
      <c r="Y743" s="138">
        <f t="shared" ref="Y743:Y749" si="214">X743*8</f>
        <v>15528</v>
      </c>
    </row>
    <row r="744" spans="1:29" ht="22.5" customHeight="1" x14ac:dyDescent="0.25">
      <c r="A744" s="137">
        <v>3</v>
      </c>
      <c r="B744" s="59" t="s">
        <v>440</v>
      </c>
      <c r="C744" s="137">
        <v>1</v>
      </c>
      <c r="D744" s="137">
        <v>9</v>
      </c>
      <c r="E744" s="163">
        <v>2050</v>
      </c>
      <c r="F744" s="186">
        <f t="shared" si="211"/>
        <v>2050</v>
      </c>
      <c r="G744" s="186"/>
      <c r="H744" s="163"/>
      <c r="I744" s="163"/>
      <c r="J744" s="137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137">
        <f t="shared" si="212"/>
        <v>0</v>
      </c>
      <c r="X744" s="138">
        <f t="shared" si="213"/>
        <v>2050</v>
      </c>
      <c r="Y744" s="138">
        <f t="shared" si="214"/>
        <v>16400</v>
      </c>
    </row>
    <row r="745" spans="1:29" ht="22.5" customHeight="1" x14ac:dyDescent="0.25">
      <c r="A745" s="137">
        <v>4</v>
      </c>
      <c r="B745" s="59" t="s">
        <v>98</v>
      </c>
      <c r="C745" s="137">
        <v>6</v>
      </c>
      <c r="D745" s="137">
        <v>10</v>
      </c>
      <c r="E745" s="163">
        <v>2157</v>
      </c>
      <c r="F745" s="186">
        <f>E745*C745</f>
        <v>12942</v>
      </c>
      <c r="G745" s="186"/>
      <c r="H745" s="163"/>
      <c r="I745" s="163"/>
      <c r="J745" s="137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137">
        <f t="shared" si="212"/>
        <v>0</v>
      </c>
      <c r="X745" s="138">
        <f t="shared" si="213"/>
        <v>12942</v>
      </c>
      <c r="Y745" s="138">
        <f t="shared" si="214"/>
        <v>103536</v>
      </c>
    </row>
    <row r="746" spans="1:29" ht="22.5" customHeight="1" x14ac:dyDescent="0.25">
      <c r="A746" s="137">
        <v>5</v>
      </c>
      <c r="B746" s="59" t="s">
        <v>99</v>
      </c>
      <c r="C746" s="137">
        <v>8</v>
      </c>
      <c r="D746" s="137">
        <v>9</v>
      </c>
      <c r="E746" s="163">
        <v>2050</v>
      </c>
      <c r="F746" s="186">
        <f t="shared" si="211"/>
        <v>16400</v>
      </c>
      <c r="G746" s="186"/>
      <c r="H746" s="163"/>
      <c r="I746" s="163"/>
      <c r="J746" s="137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137">
        <f t="shared" si="212"/>
        <v>0</v>
      </c>
      <c r="X746" s="138">
        <f t="shared" si="213"/>
        <v>16400</v>
      </c>
      <c r="Y746" s="138">
        <f t="shared" si="214"/>
        <v>131200</v>
      </c>
    </row>
    <row r="747" spans="1:29" ht="22.5" customHeight="1" x14ac:dyDescent="0.25">
      <c r="A747" s="137">
        <v>6</v>
      </c>
      <c r="B747" s="164" t="s">
        <v>102</v>
      </c>
      <c r="C747" s="166">
        <v>1</v>
      </c>
      <c r="D747" s="166">
        <v>7</v>
      </c>
      <c r="E747" s="137">
        <v>1825</v>
      </c>
      <c r="F747" s="138">
        <f>E747*C747</f>
        <v>1825</v>
      </c>
      <c r="G747" s="138"/>
      <c r="H747" s="139"/>
      <c r="I747" s="13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139">
        <f>SUM(H747:V747)</f>
        <v>0</v>
      </c>
      <c r="X747" s="138">
        <f t="shared" si="213"/>
        <v>1825</v>
      </c>
      <c r="Y747" s="138">
        <f t="shared" si="214"/>
        <v>14600</v>
      </c>
    </row>
    <row r="748" spans="1:29" ht="22.5" customHeight="1" x14ac:dyDescent="0.25">
      <c r="A748" s="137">
        <v>7</v>
      </c>
      <c r="B748" s="135" t="s">
        <v>140</v>
      </c>
      <c r="C748" s="134">
        <v>2</v>
      </c>
      <c r="D748" s="134">
        <v>5</v>
      </c>
      <c r="E748" s="163">
        <v>1612</v>
      </c>
      <c r="F748" s="186">
        <f t="shared" si="211"/>
        <v>3224</v>
      </c>
      <c r="G748" s="186"/>
      <c r="H748" s="163"/>
      <c r="I748" s="163"/>
      <c r="J748" s="137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137">
        <f t="shared" si="212"/>
        <v>0</v>
      </c>
      <c r="X748" s="138">
        <f t="shared" si="213"/>
        <v>3224</v>
      </c>
      <c r="Y748" s="138">
        <f t="shared" si="214"/>
        <v>25792</v>
      </c>
    </row>
    <row r="749" spans="1:29" ht="22.5" customHeight="1" x14ac:dyDescent="0.25">
      <c r="A749" s="137">
        <v>8</v>
      </c>
      <c r="B749" s="59" t="s">
        <v>441</v>
      </c>
      <c r="C749" s="137">
        <v>1</v>
      </c>
      <c r="D749" s="137">
        <v>5</v>
      </c>
      <c r="E749" s="163">
        <v>1612</v>
      </c>
      <c r="F749" s="186">
        <f t="shared" si="211"/>
        <v>1612</v>
      </c>
      <c r="G749" s="186"/>
      <c r="H749" s="163"/>
      <c r="I749" s="163"/>
      <c r="J749" s="137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137">
        <f t="shared" si="212"/>
        <v>0</v>
      </c>
      <c r="X749" s="138">
        <f t="shared" si="213"/>
        <v>1612</v>
      </c>
      <c r="Y749" s="138">
        <f t="shared" si="214"/>
        <v>12896</v>
      </c>
    </row>
    <row r="750" spans="1:29" ht="22.5" customHeight="1" x14ac:dyDescent="0.25">
      <c r="A750" s="137">
        <v>9</v>
      </c>
      <c r="B750" s="59" t="s">
        <v>317</v>
      </c>
      <c r="C750" s="137">
        <f>7.5-3-2.5</f>
        <v>2</v>
      </c>
      <c r="D750" s="137">
        <v>2</v>
      </c>
      <c r="E750" s="163">
        <v>1521</v>
      </c>
      <c r="F750" s="186">
        <f t="shared" si="211"/>
        <v>3042</v>
      </c>
      <c r="G750" s="186"/>
      <c r="H750" s="163"/>
      <c r="I750" s="163"/>
      <c r="J750" s="137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137">
        <f t="shared" si="212"/>
        <v>0</v>
      </c>
      <c r="X750" s="138">
        <f t="shared" si="213"/>
        <v>3042</v>
      </c>
      <c r="Y750" s="138">
        <f>X750*6</f>
        <v>18252</v>
      </c>
    </row>
    <row r="751" spans="1:29" ht="22.5" customHeight="1" x14ac:dyDescent="0.25">
      <c r="A751" s="59"/>
      <c r="B751" s="59"/>
      <c r="C751" s="177">
        <f>SUM(C742:C750)</f>
        <v>23</v>
      </c>
      <c r="D751" s="177"/>
      <c r="E751" s="59"/>
      <c r="F751" s="169">
        <f t="shared" ref="F751:AC751" si="215">SUM(F742:F750)</f>
        <v>45193</v>
      </c>
      <c r="G751" s="169">
        <f t="shared" si="215"/>
        <v>0</v>
      </c>
      <c r="H751" s="170">
        <f t="shared" si="215"/>
        <v>0</v>
      </c>
      <c r="I751" s="170">
        <f t="shared" si="215"/>
        <v>0</v>
      </c>
      <c r="J751" s="170">
        <f t="shared" si="215"/>
        <v>0</v>
      </c>
      <c r="K751" s="170">
        <f t="shared" si="215"/>
        <v>0</v>
      </c>
      <c r="L751" s="170">
        <f t="shared" si="215"/>
        <v>0</v>
      </c>
      <c r="M751" s="170">
        <f t="shared" si="215"/>
        <v>0</v>
      </c>
      <c r="N751" s="170">
        <f t="shared" si="215"/>
        <v>0</v>
      </c>
      <c r="O751" s="170">
        <f t="shared" si="215"/>
        <v>0</v>
      </c>
      <c r="P751" s="170">
        <f t="shared" si="215"/>
        <v>0</v>
      </c>
      <c r="Q751" s="170">
        <f t="shared" si="215"/>
        <v>0</v>
      </c>
      <c r="R751" s="170">
        <f t="shared" si="215"/>
        <v>0</v>
      </c>
      <c r="S751" s="170">
        <f t="shared" si="215"/>
        <v>0</v>
      </c>
      <c r="T751" s="170">
        <f t="shared" si="215"/>
        <v>0</v>
      </c>
      <c r="U751" s="170">
        <f t="shared" si="215"/>
        <v>0</v>
      </c>
      <c r="V751" s="170">
        <f t="shared" si="215"/>
        <v>0</v>
      </c>
      <c r="W751" s="170">
        <f t="shared" si="215"/>
        <v>0</v>
      </c>
      <c r="X751" s="169">
        <f t="shared" si="215"/>
        <v>45193</v>
      </c>
      <c r="Y751" s="169">
        <f t="shared" si="215"/>
        <v>355460</v>
      </c>
      <c r="Z751" s="169">
        <f t="shared" si="215"/>
        <v>0</v>
      </c>
      <c r="AA751" s="169">
        <f t="shared" si="215"/>
        <v>0</v>
      </c>
      <c r="AB751" s="169">
        <f t="shared" si="215"/>
        <v>0</v>
      </c>
      <c r="AC751" s="169">
        <f t="shared" si="215"/>
        <v>0</v>
      </c>
    </row>
    <row r="752" spans="1:29" ht="27" customHeight="1" x14ac:dyDescent="0.25">
      <c r="A752" s="289" t="s">
        <v>364</v>
      </c>
      <c r="B752" s="290"/>
      <c r="C752" s="290"/>
      <c r="D752" s="290"/>
      <c r="E752" s="290"/>
      <c r="F752" s="290"/>
      <c r="G752" s="290"/>
      <c r="H752" s="290"/>
      <c r="I752" s="290"/>
      <c r="J752" s="290"/>
      <c r="K752" s="290"/>
      <c r="L752" s="290"/>
      <c r="M752" s="290"/>
      <c r="N752" s="290"/>
      <c r="O752" s="290"/>
      <c r="P752" s="290"/>
      <c r="Q752" s="290"/>
      <c r="R752" s="290"/>
      <c r="S752" s="290"/>
      <c r="T752" s="290"/>
      <c r="U752" s="290"/>
      <c r="V752" s="290"/>
      <c r="W752" s="290"/>
      <c r="X752" s="290"/>
      <c r="Y752" s="291"/>
      <c r="Z752" s="292"/>
      <c r="AA752" s="292"/>
      <c r="AB752" s="292"/>
      <c r="AC752" s="292"/>
    </row>
    <row r="753" spans="1:29" ht="27" customHeight="1" x14ac:dyDescent="0.25">
      <c r="A753" s="179" t="s">
        <v>95</v>
      </c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1"/>
      <c r="Z753" s="292"/>
      <c r="AA753" s="292"/>
      <c r="AB753" s="292"/>
      <c r="AC753" s="292"/>
    </row>
    <row r="754" spans="1:29" ht="24.75" customHeight="1" x14ac:dyDescent="0.25">
      <c r="A754" s="179" t="s">
        <v>297</v>
      </c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1"/>
      <c r="Z754" s="292"/>
      <c r="AA754" s="292"/>
      <c r="AB754" s="292"/>
      <c r="AC754" s="292"/>
    </row>
    <row r="755" spans="1:29" ht="24.75" customHeight="1" x14ac:dyDescent="0.25">
      <c r="A755" s="293">
        <v>1</v>
      </c>
      <c r="B755" s="293" t="s">
        <v>442</v>
      </c>
      <c r="C755" s="166">
        <v>1.5</v>
      </c>
      <c r="D755" s="294">
        <v>11</v>
      </c>
      <c r="E755" s="294">
        <v>2334</v>
      </c>
      <c r="F755" s="295">
        <f>E755*C755</f>
        <v>3501</v>
      </c>
      <c r="G755" s="295"/>
      <c r="H755" s="295"/>
      <c r="I755" s="59">
        <f>ROUNDUP(F755*20%,0)</f>
        <v>701</v>
      </c>
      <c r="J755" s="294"/>
      <c r="K755" s="294"/>
      <c r="L755" s="294"/>
      <c r="M755" s="294"/>
      <c r="N755" s="294"/>
      <c r="O755" s="294"/>
      <c r="P755" s="294"/>
      <c r="Q755" s="295"/>
      <c r="R755" s="294"/>
      <c r="S755" s="294"/>
      <c r="T755" s="295"/>
      <c r="U755" s="296"/>
      <c r="V755" s="296"/>
      <c r="W755" s="152">
        <f>SUM(H755:V755)</f>
        <v>701</v>
      </c>
      <c r="X755" s="138">
        <f>W755+F755</f>
        <v>4202</v>
      </c>
      <c r="Y755" s="138">
        <f>X755*8</f>
        <v>33616</v>
      </c>
      <c r="Z755" s="292"/>
      <c r="AA755" s="292"/>
      <c r="AB755" s="292"/>
      <c r="AC755" s="292"/>
    </row>
    <row r="756" spans="1:29" ht="24.75" customHeight="1" x14ac:dyDescent="0.25">
      <c r="A756" s="293">
        <v>2</v>
      </c>
      <c r="B756" s="294" t="s">
        <v>443</v>
      </c>
      <c r="C756" s="166">
        <v>1</v>
      </c>
      <c r="D756" s="294">
        <v>9</v>
      </c>
      <c r="E756" s="294">
        <v>2050</v>
      </c>
      <c r="F756" s="295">
        <f>E756*C756</f>
        <v>2050</v>
      </c>
      <c r="G756" s="295"/>
      <c r="H756" s="295"/>
      <c r="I756" s="295"/>
      <c r="J756" s="294"/>
      <c r="K756" s="294"/>
      <c r="L756" s="294"/>
      <c r="M756" s="294"/>
      <c r="N756" s="294"/>
      <c r="O756" s="294"/>
      <c r="P756" s="294"/>
      <c r="Q756" s="294"/>
      <c r="R756" s="294"/>
      <c r="S756" s="294"/>
      <c r="T756" s="295"/>
      <c r="U756" s="296"/>
      <c r="V756" s="296"/>
      <c r="W756" s="152">
        <f>SUM(H756:V756)</f>
        <v>0</v>
      </c>
      <c r="X756" s="138">
        <f>W756+F756</f>
        <v>2050</v>
      </c>
      <c r="Y756" s="138">
        <f>X756*8</f>
        <v>16400</v>
      </c>
      <c r="Z756" s="292"/>
      <c r="AA756" s="292"/>
      <c r="AB756" s="292"/>
      <c r="AC756" s="292"/>
    </row>
    <row r="757" spans="1:29" ht="24.75" customHeight="1" x14ac:dyDescent="0.25">
      <c r="A757" s="293">
        <v>3</v>
      </c>
      <c r="B757" s="297" t="s">
        <v>330</v>
      </c>
      <c r="C757" s="166">
        <v>0.75</v>
      </c>
      <c r="D757" s="294">
        <v>8</v>
      </c>
      <c r="E757" s="294">
        <v>1943</v>
      </c>
      <c r="F757" s="295">
        <f>E757*C757</f>
        <v>1457.25</v>
      </c>
      <c r="G757" s="295"/>
      <c r="H757" s="295"/>
      <c r="I757" s="295"/>
      <c r="J757" s="294"/>
      <c r="K757" s="294"/>
      <c r="L757" s="294"/>
      <c r="M757" s="294"/>
      <c r="N757" s="294"/>
      <c r="O757" s="294"/>
      <c r="P757" s="294"/>
      <c r="Q757" s="294"/>
      <c r="R757" s="294"/>
      <c r="S757" s="294"/>
      <c r="T757" s="295"/>
      <c r="U757" s="296"/>
      <c r="V757" s="296"/>
      <c r="W757" s="152">
        <f>SUM(H757:V757)</f>
        <v>0</v>
      </c>
      <c r="X757" s="138">
        <f>W757+F757</f>
        <v>1457.25</v>
      </c>
      <c r="Y757" s="138">
        <f>X757*8</f>
        <v>11658</v>
      </c>
      <c r="Z757" s="292"/>
      <c r="AA757" s="292"/>
      <c r="AB757" s="292"/>
      <c r="AC757" s="292"/>
    </row>
    <row r="758" spans="1:29" ht="24.75" customHeight="1" x14ac:dyDescent="0.25">
      <c r="A758" s="293">
        <v>4</v>
      </c>
      <c r="B758" s="297" t="s">
        <v>101</v>
      </c>
      <c r="C758" s="166">
        <v>3.75</v>
      </c>
      <c r="D758" s="294">
        <v>7</v>
      </c>
      <c r="E758" s="294">
        <v>1825</v>
      </c>
      <c r="F758" s="295">
        <f>E758*C758</f>
        <v>6843.75</v>
      </c>
      <c r="G758" s="295"/>
      <c r="H758" s="295"/>
      <c r="I758" s="295"/>
      <c r="J758" s="294"/>
      <c r="K758" s="294"/>
      <c r="L758" s="294"/>
      <c r="M758" s="294"/>
      <c r="N758" s="294"/>
      <c r="O758" s="294"/>
      <c r="P758" s="294"/>
      <c r="Q758" s="294"/>
      <c r="R758" s="294"/>
      <c r="S758" s="294"/>
      <c r="T758" s="295"/>
      <c r="U758" s="296"/>
      <c r="V758" s="296"/>
      <c r="W758" s="152">
        <f>SUM(H758:V758)</f>
        <v>0</v>
      </c>
      <c r="X758" s="138">
        <f>W758+F758</f>
        <v>6843.75</v>
      </c>
      <c r="Y758" s="138">
        <f>X758*8</f>
        <v>54750</v>
      </c>
      <c r="Z758" s="292"/>
      <c r="AA758" s="292"/>
      <c r="AB758" s="292"/>
      <c r="AC758" s="292"/>
    </row>
    <row r="759" spans="1:29" ht="24.75" customHeight="1" x14ac:dyDescent="0.25">
      <c r="A759" s="184"/>
      <c r="B759" s="298"/>
      <c r="C759" s="177">
        <f>SUM(C755:C758)</f>
        <v>7</v>
      </c>
      <c r="D759" s="177"/>
      <c r="E759" s="177"/>
      <c r="F759" s="169">
        <f t="shared" ref="F759:Y759" si="216">SUM(F755:F758)</f>
        <v>13852</v>
      </c>
      <c r="G759" s="169"/>
      <c r="H759" s="177">
        <f t="shared" si="216"/>
        <v>0</v>
      </c>
      <c r="I759" s="177">
        <f t="shared" si="216"/>
        <v>701</v>
      </c>
      <c r="J759" s="177">
        <f t="shared" si="216"/>
        <v>0</v>
      </c>
      <c r="K759" s="177">
        <f t="shared" si="216"/>
        <v>0</v>
      </c>
      <c r="L759" s="177">
        <f t="shared" si="216"/>
        <v>0</v>
      </c>
      <c r="M759" s="177">
        <f t="shared" si="216"/>
        <v>0</v>
      </c>
      <c r="N759" s="177">
        <f t="shared" si="216"/>
        <v>0</v>
      </c>
      <c r="O759" s="177">
        <f t="shared" si="216"/>
        <v>0</v>
      </c>
      <c r="P759" s="177">
        <f t="shared" si="216"/>
        <v>0</v>
      </c>
      <c r="Q759" s="177">
        <f t="shared" si="216"/>
        <v>0</v>
      </c>
      <c r="R759" s="177">
        <f t="shared" si="216"/>
        <v>0</v>
      </c>
      <c r="S759" s="177">
        <f t="shared" si="216"/>
        <v>0</v>
      </c>
      <c r="T759" s="177">
        <f t="shared" si="216"/>
        <v>0</v>
      </c>
      <c r="U759" s="177">
        <f t="shared" si="216"/>
        <v>0</v>
      </c>
      <c r="V759" s="177">
        <f t="shared" si="216"/>
        <v>0</v>
      </c>
      <c r="W759" s="177">
        <f t="shared" si="216"/>
        <v>701</v>
      </c>
      <c r="X759" s="169">
        <f t="shared" si="216"/>
        <v>14553</v>
      </c>
      <c r="Y759" s="169">
        <f t="shared" si="216"/>
        <v>116424</v>
      </c>
      <c r="Z759" s="292"/>
      <c r="AA759" s="292"/>
      <c r="AB759" s="292"/>
      <c r="AC759" s="292"/>
    </row>
    <row r="760" spans="1:29" ht="24.75" customHeight="1" x14ac:dyDescent="0.25">
      <c r="A760" s="284" t="s">
        <v>444</v>
      </c>
      <c r="B760" s="285"/>
      <c r="C760" s="285"/>
      <c r="D760" s="285"/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5"/>
      <c r="P760" s="285"/>
      <c r="Q760" s="285"/>
      <c r="R760" s="285"/>
      <c r="S760" s="285"/>
      <c r="T760" s="285"/>
      <c r="U760" s="285"/>
      <c r="V760" s="285"/>
      <c r="W760" s="285"/>
      <c r="X760" s="285"/>
      <c r="Y760" s="286"/>
      <c r="Z760" s="292"/>
      <c r="AA760" s="292"/>
      <c r="AB760" s="292"/>
      <c r="AC760" s="292"/>
    </row>
    <row r="761" spans="1:29" ht="24.75" customHeight="1" x14ac:dyDescent="0.25">
      <c r="A761" s="294">
        <v>1</v>
      </c>
      <c r="B761" s="294" t="s">
        <v>118</v>
      </c>
      <c r="C761" s="166">
        <v>0.75</v>
      </c>
      <c r="D761" s="294">
        <v>12</v>
      </c>
      <c r="E761" s="294">
        <v>2512</v>
      </c>
      <c r="F761" s="295">
        <f>E761*C761</f>
        <v>1884</v>
      </c>
      <c r="G761" s="295"/>
      <c r="H761" s="59"/>
      <c r="I761" s="59"/>
      <c r="J761" s="294"/>
      <c r="K761" s="294"/>
      <c r="L761" s="294"/>
      <c r="M761" s="294"/>
      <c r="N761" s="294"/>
      <c r="O761" s="294"/>
      <c r="P761" s="294"/>
      <c r="Q761" s="294"/>
      <c r="R761" s="294"/>
      <c r="S761" s="294"/>
      <c r="T761" s="295"/>
      <c r="U761" s="296"/>
      <c r="V761" s="296"/>
      <c r="W761" s="152">
        <f>SUM(H761:V761)</f>
        <v>0</v>
      </c>
      <c r="X761" s="138">
        <f>W761+F761</f>
        <v>1884</v>
      </c>
      <c r="Y761" s="138">
        <f>X761*8</f>
        <v>15072</v>
      </c>
      <c r="Z761" s="292"/>
      <c r="AA761" s="292"/>
      <c r="AB761" s="292"/>
      <c r="AC761" s="292"/>
    </row>
    <row r="762" spans="1:29" ht="24.75" customHeight="1" x14ac:dyDescent="0.25">
      <c r="A762" s="294">
        <v>2</v>
      </c>
      <c r="B762" s="294" t="s">
        <v>130</v>
      </c>
      <c r="C762" s="166">
        <v>0.75</v>
      </c>
      <c r="D762" s="294">
        <v>9</v>
      </c>
      <c r="E762" s="294">
        <v>2050</v>
      </c>
      <c r="F762" s="295">
        <f>E762*C762</f>
        <v>1537.5</v>
      </c>
      <c r="G762" s="295"/>
      <c r="H762" s="59"/>
      <c r="I762" s="59">
        <f>ROUNDUP(F762*20%,0)</f>
        <v>308</v>
      </c>
      <c r="J762" s="294"/>
      <c r="K762" s="294"/>
      <c r="L762" s="294"/>
      <c r="M762" s="294"/>
      <c r="N762" s="59">
        <f>ROUNDUP(F762*30%,0)</f>
        <v>462</v>
      </c>
      <c r="O762" s="294"/>
      <c r="P762" s="294"/>
      <c r="Q762" s="294"/>
      <c r="R762" s="294"/>
      <c r="S762" s="294"/>
      <c r="T762" s="295"/>
      <c r="U762" s="296"/>
      <c r="V762" s="296"/>
      <c r="W762" s="152">
        <f>SUM(H762:V762)</f>
        <v>770</v>
      </c>
      <c r="X762" s="138">
        <f>W762+F762</f>
        <v>2307.5</v>
      </c>
      <c r="Y762" s="138">
        <f>X762*8</f>
        <v>18460</v>
      </c>
      <c r="Z762" s="292"/>
      <c r="AA762" s="292"/>
      <c r="AB762" s="292"/>
      <c r="AC762" s="292"/>
    </row>
    <row r="763" spans="1:29" ht="24.75" customHeight="1" x14ac:dyDescent="0.25">
      <c r="A763" s="294">
        <v>3</v>
      </c>
      <c r="B763" s="294" t="s">
        <v>445</v>
      </c>
      <c r="C763" s="166">
        <v>0.5</v>
      </c>
      <c r="D763" s="294">
        <v>8</v>
      </c>
      <c r="E763" s="294">
        <v>1943</v>
      </c>
      <c r="F763" s="295">
        <f>E763*C763</f>
        <v>971.5</v>
      </c>
      <c r="G763" s="295"/>
      <c r="H763" s="59">
        <f>ROUNDUP(F763*50%,0)</f>
        <v>486</v>
      </c>
      <c r="I763" s="59"/>
      <c r="J763" s="294"/>
      <c r="K763" s="294"/>
      <c r="L763" s="294"/>
      <c r="M763" s="294"/>
      <c r="N763" s="59">
        <f>ROUNDUP(F763*10%,0)</f>
        <v>98</v>
      </c>
      <c r="O763" s="294"/>
      <c r="P763" s="294"/>
      <c r="Q763" s="294"/>
      <c r="R763" s="294"/>
      <c r="S763" s="294"/>
      <c r="T763" s="295"/>
      <c r="U763" s="296"/>
      <c r="V763" s="296"/>
      <c r="W763" s="152">
        <f>SUM(H763:V763)</f>
        <v>584</v>
      </c>
      <c r="X763" s="138">
        <f>W763+F763</f>
        <v>1555.5</v>
      </c>
      <c r="Y763" s="138">
        <f>X763*8</f>
        <v>12444</v>
      </c>
      <c r="Z763" s="292"/>
      <c r="AA763" s="292"/>
      <c r="AB763" s="292"/>
      <c r="AC763" s="292"/>
    </row>
    <row r="764" spans="1:29" ht="24.75" customHeight="1" x14ac:dyDescent="0.25">
      <c r="A764" s="184"/>
      <c r="B764" s="299"/>
      <c r="C764" s="177">
        <f>SUM(C761:C763)</f>
        <v>2</v>
      </c>
      <c r="D764" s="177"/>
      <c r="E764" s="177"/>
      <c r="F764" s="169">
        <f>SUM(F761:F763)</f>
        <v>4393</v>
      </c>
      <c r="G764" s="169"/>
      <c r="H764" s="177">
        <f t="shared" ref="H764:Y764" si="217">SUM(H761:H763)</f>
        <v>486</v>
      </c>
      <c r="I764" s="177">
        <f t="shared" si="217"/>
        <v>308</v>
      </c>
      <c r="J764" s="177">
        <f t="shared" si="217"/>
        <v>0</v>
      </c>
      <c r="K764" s="177">
        <f t="shared" si="217"/>
        <v>0</v>
      </c>
      <c r="L764" s="177">
        <f t="shared" si="217"/>
        <v>0</v>
      </c>
      <c r="M764" s="177">
        <f t="shared" si="217"/>
        <v>0</v>
      </c>
      <c r="N764" s="177">
        <f t="shared" si="217"/>
        <v>560</v>
      </c>
      <c r="O764" s="177">
        <f t="shared" si="217"/>
        <v>0</v>
      </c>
      <c r="P764" s="177">
        <f t="shared" si="217"/>
        <v>0</v>
      </c>
      <c r="Q764" s="177">
        <f t="shared" si="217"/>
        <v>0</v>
      </c>
      <c r="R764" s="177">
        <f t="shared" si="217"/>
        <v>0</v>
      </c>
      <c r="S764" s="177">
        <f t="shared" si="217"/>
        <v>0</v>
      </c>
      <c r="T764" s="177">
        <f t="shared" si="217"/>
        <v>0</v>
      </c>
      <c r="U764" s="177">
        <f t="shared" si="217"/>
        <v>0</v>
      </c>
      <c r="V764" s="177">
        <f t="shared" si="217"/>
        <v>0</v>
      </c>
      <c r="W764" s="177">
        <f t="shared" si="217"/>
        <v>1354</v>
      </c>
      <c r="X764" s="169">
        <f t="shared" si="217"/>
        <v>5747</v>
      </c>
      <c r="Y764" s="169">
        <f t="shared" si="217"/>
        <v>45976</v>
      </c>
      <c r="Z764" s="292"/>
      <c r="AA764" s="292"/>
      <c r="AB764" s="292"/>
      <c r="AC764" s="292"/>
    </row>
    <row r="765" spans="1:29" ht="24.75" customHeight="1" x14ac:dyDescent="0.25">
      <c r="A765" s="184"/>
      <c r="B765" s="179" t="s">
        <v>144</v>
      </c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1"/>
      <c r="Z765" s="292"/>
      <c r="AA765" s="292"/>
      <c r="AB765" s="292"/>
      <c r="AC765" s="292"/>
    </row>
    <row r="766" spans="1:29" ht="24.75" customHeight="1" x14ac:dyDescent="0.25">
      <c r="A766" s="294">
        <v>1</v>
      </c>
      <c r="B766" s="294" t="s">
        <v>446</v>
      </c>
      <c r="C766" s="166">
        <v>1</v>
      </c>
      <c r="D766" s="294">
        <v>6</v>
      </c>
      <c r="E766" s="294">
        <v>1718</v>
      </c>
      <c r="F766" s="295">
        <f>E766*C766</f>
        <v>1718</v>
      </c>
      <c r="G766" s="295"/>
      <c r="H766" s="295"/>
      <c r="I766" s="295"/>
      <c r="J766" s="294"/>
      <c r="K766" s="294"/>
      <c r="L766" s="294"/>
      <c r="M766" s="294"/>
      <c r="N766" s="294"/>
      <c r="O766" s="294"/>
      <c r="P766" s="294"/>
      <c r="Q766" s="294"/>
      <c r="R766" s="294"/>
      <c r="S766" s="294"/>
      <c r="T766" s="295"/>
      <c r="U766" s="296"/>
      <c r="V766" s="296"/>
      <c r="W766" s="216">
        <f>SUM(H766:V766)</f>
        <v>0</v>
      </c>
      <c r="X766" s="138">
        <f>W766+F766</f>
        <v>1718</v>
      </c>
      <c r="Y766" s="138">
        <f>X766*8</f>
        <v>13744</v>
      </c>
      <c r="Z766" s="292"/>
      <c r="AA766" s="292"/>
      <c r="AB766" s="292"/>
      <c r="AC766" s="292"/>
    </row>
    <row r="767" spans="1:29" ht="24.75" customHeight="1" x14ac:dyDescent="0.25">
      <c r="A767" s="184"/>
      <c r="B767" s="184"/>
      <c r="C767" s="177">
        <f>SUM(C766:C766)</f>
        <v>1</v>
      </c>
      <c r="D767" s="177"/>
      <c r="E767" s="177"/>
      <c r="F767" s="169">
        <f>SUM(F766:F766)</f>
        <v>1718</v>
      </c>
      <c r="G767" s="169"/>
      <c r="H767" s="169">
        <f t="shared" ref="H767:AC767" si="218">SUM(H766:H766)</f>
        <v>0</v>
      </c>
      <c r="I767" s="169">
        <f t="shared" si="218"/>
        <v>0</v>
      </c>
      <c r="J767" s="169">
        <f t="shared" si="218"/>
        <v>0</v>
      </c>
      <c r="K767" s="169">
        <f t="shared" si="218"/>
        <v>0</v>
      </c>
      <c r="L767" s="169">
        <f t="shared" si="218"/>
        <v>0</v>
      </c>
      <c r="M767" s="169">
        <f t="shared" si="218"/>
        <v>0</v>
      </c>
      <c r="N767" s="169">
        <f t="shared" si="218"/>
        <v>0</v>
      </c>
      <c r="O767" s="169">
        <f t="shared" si="218"/>
        <v>0</v>
      </c>
      <c r="P767" s="169">
        <f t="shared" si="218"/>
        <v>0</v>
      </c>
      <c r="Q767" s="169">
        <f t="shared" si="218"/>
        <v>0</v>
      </c>
      <c r="R767" s="169">
        <f t="shared" si="218"/>
        <v>0</v>
      </c>
      <c r="S767" s="169">
        <f t="shared" si="218"/>
        <v>0</v>
      </c>
      <c r="T767" s="169">
        <f t="shared" si="218"/>
        <v>0</v>
      </c>
      <c r="U767" s="169">
        <f t="shared" si="218"/>
        <v>0</v>
      </c>
      <c r="V767" s="169">
        <f t="shared" si="218"/>
        <v>0</v>
      </c>
      <c r="W767" s="169">
        <f t="shared" si="218"/>
        <v>0</v>
      </c>
      <c r="X767" s="169">
        <f t="shared" si="218"/>
        <v>1718</v>
      </c>
      <c r="Y767" s="169">
        <f t="shared" si="218"/>
        <v>13744</v>
      </c>
      <c r="Z767" s="169">
        <f t="shared" si="218"/>
        <v>0</v>
      </c>
      <c r="AA767" s="169">
        <f t="shared" si="218"/>
        <v>0</v>
      </c>
      <c r="AB767" s="169">
        <f t="shared" si="218"/>
        <v>0</v>
      </c>
      <c r="AC767" s="169">
        <f t="shared" si="218"/>
        <v>0</v>
      </c>
    </row>
    <row r="768" spans="1:29" ht="24.75" customHeight="1" x14ac:dyDescent="0.25">
      <c r="A768" s="284" t="s">
        <v>151</v>
      </c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285"/>
      <c r="P768" s="285"/>
      <c r="Q768" s="285"/>
      <c r="R768" s="285"/>
      <c r="S768" s="285"/>
      <c r="T768" s="285"/>
      <c r="U768" s="285"/>
      <c r="V768" s="285"/>
      <c r="W768" s="285"/>
      <c r="X768" s="285"/>
      <c r="Y768" s="286"/>
      <c r="Z768" s="292"/>
      <c r="AA768" s="292"/>
      <c r="AB768" s="292"/>
      <c r="AC768" s="292"/>
    </row>
    <row r="769" spans="1:29" ht="24.75" customHeight="1" x14ac:dyDescent="0.25">
      <c r="A769" s="294">
        <v>1</v>
      </c>
      <c r="B769" s="294" t="s">
        <v>152</v>
      </c>
      <c r="C769" s="166">
        <v>1</v>
      </c>
      <c r="D769" s="294"/>
      <c r="E769" s="294">
        <v>4330</v>
      </c>
      <c r="F769" s="295">
        <f>E769*C769</f>
        <v>4330</v>
      </c>
      <c r="G769" s="295"/>
      <c r="H769" s="300"/>
      <c r="I769" s="300"/>
      <c r="J769" s="295"/>
      <c r="K769" s="295"/>
      <c r="L769" s="295"/>
      <c r="M769" s="295"/>
      <c r="N769" s="295"/>
      <c r="O769" s="295"/>
      <c r="P769" s="295"/>
      <c r="Q769" s="295"/>
      <c r="R769" s="294"/>
      <c r="S769" s="294"/>
      <c r="T769" s="295"/>
      <c r="U769" s="296"/>
      <c r="V769" s="296"/>
      <c r="W769" s="152">
        <f>SUM(H769:V769)</f>
        <v>0</v>
      </c>
      <c r="X769" s="138">
        <f>F769+W769</f>
        <v>4330</v>
      </c>
      <c r="Y769" s="138">
        <f>X769*8</f>
        <v>34640</v>
      </c>
      <c r="Z769" s="292"/>
      <c r="AA769" s="292"/>
      <c r="AB769" s="292"/>
      <c r="AC769" s="292"/>
    </row>
    <row r="770" spans="1:29" ht="24.75" customHeight="1" x14ac:dyDescent="0.25">
      <c r="A770" s="294">
        <v>2</v>
      </c>
      <c r="B770" s="294" t="s">
        <v>447</v>
      </c>
      <c r="C770" s="166">
        <v>0.75</v>
      </c>
      <c r="D770" s="294"/>
      <c r="E770" s="294">
        <v>3897</v>
      </c>
      <c r="F770" s="295">
        <f>E770*C770</f>
        <v>2922.75</v>
      </c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4"/>
      <c r="S770" s="294"/>
      <c r="T770" s="295"/>
      <c r="U770" s="296"/>
      <c r="V770" s="296"/>
      <c r="W770" s="152">
        <f>SUM(H770:V770)</f>
        <v>0</v>
      </c>
      <c r="X770" s="138">
        <f>F770+W770</f>
        <v>2922.75</v>
      </c>
      <c r="Y770" s="138">
        <f>X770*8</f>
        <v>23382</v>
      </c>
      <c r="Z770" s="292"/>
      <c r="AA770" s="292"/>
      <c r="AB770" s="292"/>
      <c r="AC770" s="292"/>
    </row>
    <row r="771" spans="1:29" ht="24.75" customHeight="1" x14ac:dyDescent="0.25">
      <c r="A771" s="294">
        <v>3</v>
      </c>
      <c r="B771" s="294" t="s">
        <v>155</v>
      </c>
      <c r="C771" s="166">
        <v>1</v>
      </c>
      <c r="D771" s="294">
        <v>9</v>
      </c>
      <c r="E771" s="294">
        <v>2050</v>
      </c>
      <c r="F771" s="295">
        <f>E771*C771</f>
        <v>2050</v>
      </c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4"/>
      <c r="S771" s="294"/>
      <c r="T771" s="295"/>
      <c r="U771" s="296"/>
      <c r="V771" s="296"/>
      <c r="W771" s="152">
        <f>SUM(H771:V771)</f>
        <v>0</v>
      </c>
      <c r="X771" s="138">
        <f>F771+W771</f>
        <v>2050</v>
      </c>
      <c r="Y771" s="138">
        <f>X771*8</f>
        <v>16400</v>
      </c>
      <c r="Z771" s="292"/>
      <c r="AA771" s="292"/>
      <c r="AB771" s="292"/>
      <c r="AC771" s="292"/>
    </row>
    <row r="772" spans="1:29" ht="24.75" customHeight="1" x14ac:dyDescent="0.25">
      <c r="A772" s="294">
        <v>4</v>
      </c>
      <c r="B772" s="294" t="s">
        <v>150</v>
      </c>
      <c r="C772" s="166">
        <v>1</v>
      </c>
      <c r="D772" s="294">
        <v>8</v>
      </c>
      <c r="E772" s="294">
        <v>2050</v>
      </c>
      <c r="F772" s="295">
        <f>E772*C772</f>
        <v>2050</v>
      </c>
      <c r="G772" s="295"/>
      <c r="H772" s="295"/>
      <c r="I772" s="295"/>
      <c r="J772" s="294"/>
      <c r="K772" s="294"/>
      <c r="L772" s="294"/>
      <c r="M772" s="294"/>
      <c r="N772" s="294"/>
      <c r="O772" s="294"/>
      <c r="P772" s="294"/>
      <c r="Q772" s="294"/>
      <c r="R772" s="294"/>
      <c r="S772" s="294"/>
      <c r="T772" s="295"/>
      <c r="U772" s="296"/>
      <c r="V772" s="296"/>
      <c r="W772" s="152">
        <f>SUM(H772:V772)</f>
        <v>0</v>
      </c>
      <c r="X772" s="138">
        <f>F772+W772</f>
        <v>2050</v>
      </c>
      <c r="Y772" s="138">
        <f>X772*8</f>
        <v>16400</v>
      </c>
      <c r="Z772" s="292"/>
      <c r="AA772" s="292"/>
      <c r="AB772" s="292"/>
      <c r="AC772" s="292"/>
    </row>
    <row r="773" spans="1:29" ht="24.75" customHeight="1" x14ac:dyDescent="0.25">
      <c r="A773" s="184"/>
      <c r="B773" s="299"/>
      <c r="C773" s="169">
        <f>SUM(C769:C772)</f>
        <v>3.75</v>
      </c>
      <c r="D773" s="169"/>
      <c r="E773" s="169"/>
      <c r="F773" s="169">
        <f t="shared" ref="F773:Y773" si="219">SUM(F769:F772)</f>
        <v>11352.75</v>
      </c>
      <c r="G773" s="169"/>
      <c r="H773" s="169">
        <f t="shared" si="219"/>
        <v>0</v>
      </c>
      <c r="I773" s="169">
        <f t="shared" si="219"/>
        <v>0</v>
      </c>
      <c r="J773" s="169">
        <f t="shared" si="219"/>
        <v>0</v>
      </c>
      <c r="K773" s="169">
        <f t="shared" si="219"/>
        <v>0</v>
      </c>
      <c r="L773" s="169">
        <f t="shared" si="219"/>
        <v>0</v>
      </c>
      <c r="M773" s="169">
        <f t="shared" si="219"/>
        <v>0</v>
      </c>
      <c r="N773" s="169">
        <f t="shared" si="219"/>
        <v>0</v>
      </c>
      <c r="O773" s="169">
        <f t="shared" si="219"/>
        <v>0</v>
      </c>
      <c r="P773" s="169">
        <f t="shared" si="219"/>
        <v>0</v>
      </c>
      <c r="Q773" s="169">
        <f t="shared" si="219"/>
        <v>0</v>
      </c>
      <c r="R773" s="169">
        <f t="shared" si="219"/>
        <v>0</v>
      </c>
      <c r="S773" s="169">
        <f t="shared" si="219"/>
        <v>0</v>
      </c>
      <c r="T773" s="169">
        <f t="shared" si="219"/>
        <v>0</v>
      </c>
      <c r="U773" s="169">
        <f t="shared" si="219"/>
        <v>0</v>
      </c>
      <c r="V773" s="169">
        <f t="shared" si="219"/>
        <v>0</v>
      </c>
      <c r="W773" s="169">
        <f t="shared" si="219"/>
        <v>0</v>
      </c>
      <c r="X773" s="169">
        <f t="shared" si="219"/>
        <v>11352.75</v>
      </c>
      <c r="Y773" s="169">
        <f t="shared" si="219"/>
        <v>90822</v>
      </c>
      <c r="Z773" s="292"/>
      <c r="AA773" s="292"/>
      <c r="AB773" s="292"/>
      <c r="AC773" s="292"/>
    </row>
    <row r="774" spans="1:29" ht="24.75" customHeight="1" x14ac:dyDescent="0.25">
      <c r="A774" s="284" t="s">
        <v>200</v>
      </c>
      <c r="B774" s="285"/>
      <c r="C774" s="285"/>
      <c r="D774" s="285"/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5"/>
      <c r="P774" s="285"/>
      <c r="Q774" s="285"/>
      <c r="R774" s="285"/>
      <c r="S774" s="285"/>
      <c r="T774" s="285"/>
      <c r="U774" s="285"/>
      <c r="V774" s="285"/>
      <c r="W774" s="285"/>
      <c r="X774" s="285"/>
      <c r="Y774" s="286"/>
      <c r="Z774" s="292"/>
      <c r="AA774" s="292"/>
      <c r="AB774" s="292"/>
      <c r="AC774" s="292"/>
    </row>
    <row r="775" spans="1:29" ht="24.75" customHeight="1" x14ac:dyDescent="0.25">
      <c r="A775" s="294">
        <v>1</v>
      </c>
      <c r="B775" s="294" t="s">
        <v>448</v>
      </c>
      <c r="C775" s="166">
        <v>0.75</v>
      </c>
      <c r="D775" s="294">
        <v>12</v>
      </c>
      <c r="E775" s="294">
        <v>2512</v>
      </c>
      <c r="F775" s="295">
        <f t="shared" ref="F775:F785" si="220">E775*C775</f>
        <v>1884</v>
      </c>
      <c r="G775" s="295"/>
      <c r="H775" s="295"/>
      <c r="I775" s="295"/>
      <c r="J775" s="295"/>
      <c r="K775" s="295"/>
      <c r="L775" s="295"/>
      <c r="M775" s="295"/>
      <c r="N775" s="295"/>
      <c r="O775" s="295"/>
      <c r="P775" s="295"/>
      <c r="Q775" s="295"/>
      <c r="R775" s="295"/>
      <c r="S775" s="295"/>
      <c r="T775" s="295"/>
      <c r="U775" s="296"/>
      <c r="V775" s="296"/>
      <c r="W775" s="152">
        <f>SUM(H775:V775)</f>
        <v>0</v>
      </c>
      <c r="X775" s="138">
        <f>W775+F775</f>
        <v>1884</v>
      </c>
      <c r="Y775" s="138">
        <f>X775*8</f>
        <v>15072</v>
      </c>
      <c r="Z775" s="292"/>
      <c r="AA775" s="292"/>
      <c r="AB775" s="292"/>
      <c r="AC775" s="292"/>
    </row>
    <row r="776" spans="1:29" ht="24.75" customHeight="1" x14ac:dyDescent="0.25">
      <c r="A776" s="294">
        <v>2</v>
      </c>
      <c r="B776" s="294" t="s">
        <v>99</v>
      </c>
      <c r="C776" s="166">
        <v>1</v>
      </c>
      <c r="D776" s="294">
        <v>9</v>
      </c>
      <c r="E776" s="294">
        <v>2050</v>
      </c>
      <c r="F776" s="295">
        <f t="shared" si="220"/>
        <v>2050</v>
      </c>
      <c r="G776" s="295"/>
      <c r="H776" s="295"/>
      <c r="I776" s="295"/>
      <c r="J776" s="295"/>
      <c r="K776" s="295"/>
      <c r="L776" s="295"/>
      <c r="M776" s="295"/>
      <c r="N776" s="295"/>
      <c r="O776" s="295"/>
      <c r="P776" s="295"/>
      <c r="Q776" s="295"/>
      <c r="R776" s="295"/>
      <c r="S776" s="295"/>
      <c r="T776" s="295"/>
      <c r="U776" s="296"/>
      <c r="V776" s="296"/>
      <c r="W776" s="152">
        <f>SUM(H776:V776)</f>
        <v>0</v>
      </c>
      <c r="X776" s="138">
        <f>W776+F776</f>
        <v>2050</v>
      </c>
      <c r="Y776" s="138">
        <f>X776*8</f>
        <v>16400</v>
      </c>
      <c r="Z776" s="292"/>
      <c r="AA776" s="292"/>
      <c r="AB776" s="292"/>
      <c r="AC776" s="292"/>
    </row>
    <row r="777" spans="1:29" ht="24.75" customHeight="1" x14ac:dyDescent="0.25">
      <c r="A777" s="294">
        <v>3</v>
      </c>
      <c r="B777" s="294" t="s">
        <v>449</v>
      </c>
      <c r="C777" s="166">
        <v>0.25</v>
      </c>
      <c r="D777" s="294">
        <v>5</v>
      </c>
      <c r="E777" s="294">
        <v>1612</v>
      </c>
      <c r="F777" s="295">
        <f t="shared" si="220"/>
        <v>403</v>
      </c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6"/>
      <c r="V777" s="296"/>
      <c r="W777" s="152">
        <f>SUM(H777:V777)</f>
        <v>0</v>
      </c>
      <c r="X777" s="138">
        <f>W777+F777</f>
        <v>403</v>
      </c>
      <c r="Y777" s="138">
        <f>X777*8</f>
        <v>3224</v>
      </c>
      <c r="Z777" s="292"/>
      <c r="AA777" s="292"/>
      <c r="AB777" s="292"/>
      <c r="AC777" s="292"/>
    </row>
    <row r="778" spans="1:29" ht="24.75" customHeight="1" x14ac:dyDescent="0.25">
      <c r="A778" s="294">
        <v>4</v>
      </c>
      <c r="B778" s="294" t="s">
        <v>450</v>
      </c>
      <c r="C778" s="166">
        <v>4</v>
      </c>
      <c r="D778" s="294">
        <v>2</v>
      </c>
      <c r="E778" s="294">
        <v>1521</v>
      </c>
      <c r="F778" s="295">
        <f>E778*C778</f>
        <v>6084</v>
      </c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301"/>
      <c r="U778" s="296"/>
      <c r="V778" s="296"/>
      <c r="W778" s="152">
        <f>SUM(H778:V778)</f>
        <v>0</v>
      </c>
      <c r="X778" s="138">
        <f>W778+F778</f>
        <v>6084</v>
      </c>
      <c r="Y778" s="138">
        <f>X778*2.5</f>
        <v>15210</v>
      </c>
      <c r="Z778" s="292"/>
      <c r="AA778" s="292"/>
      <c r="AB778" s="292"/>
      <c r="AC778" s="292"/>
    </row>
    <row r="779" spans="1:29" ht="24.75" customHeight="1" x14ac:dyDescent="0.25">
      <c r="A779" s="294">
        <v>5</v>
      </c>
      <c r="B779" s="294" t="s">
        <v>451</v>
      </c>
      <c r="C779" s="166">
        <v>0.5</v>
      </c>
      <c r="D779" s="294">
        <v>5</v>
      </c>
      <c r="E779" s="294">
        <v>1612</v>
      </c>
      <c r="F779" s="295">
        <f>E779*C779</f>
        <v>806</v>
      </c>
      <c r="G779" s="295"/>
      <c r="H779" s="295"/>
      <c r="I779" s="295"/>
      <c r="J779" s="295"/>
      <c r="K779" s="295"/>
      <c r="L779" s="295"/>
      <c r="M779" s="295"/>
      <c r="N779" s="295"/>
      <c r="O779" s="295"/>
      <c r="P779" s="295"/>
      <c r="Q779" s="295"/>
      <c r="R779" s="295"/>
      <c r="S779" s="295"/>
      <c r="T779" s="301"/>
      <c r="U779" s="296"/>
      <c r="V779" s="296"/>
      <c r="W779" s="152">
        <f>SUM(H779:V779)</f>
        <v>0</v>
      </c>
      <c r="X779" s="138">
        <f>W779+F779</f>
        <v>806</v>
      </c>
      <c r="Y779" s="138">
        <f>X779*8</f>
        <v>6448</v>
      </c>
      <c r="Z779" s="292"/>
      <c r="AA779" s="292"/>
      <c r="AB779" s="292"/>
      <c r="AC779" s="292"/>
    </row>
    <row r="780" spans="1:29" ht="24.75" customHeight="1" x14ac:dyDescent="0.25">
      <c r="A780" s="294"/>
      <c r="B780" s="294"/>
      <c r="C780" s="166">
        <f>SUM(C775:C779)</f>
        <v>6.5</v>
      </c>
      <c r="D780" s="294"/>
      <c r="E780" s="294"/>
      <c r="F780" s="295">
        <f>SUM(F775:F779)</f>
        <v>11227</v>
      </c>
      <c r="G780" s="295">
        <f>SUM(G775:G779)</f>
        <v>0</v>
      </c>
      <c r="H780" s="295">
        <f t="shared" ref="H780:Y780" si="221">SUM(H775:H779)</f>
        <v>0</v>
      </c>
      <c r="I780" s="295">
        <f t="shared" si="221"/>
        <v>0</v>
      </c>
      <c r="J780" s="295">
        <f t="shared" si="221"/>
        <v>0</v>
      </c>
      <c r="K780" s="295">
        <f t="shared" si="221"/>
        <v>0</v>
      </c>
      <c r="L780" s="295">
        <f t="shared" si="221"/>
        <v>0</v>
      </c>
      <c r="M780" s="295">
        <f t="shared" si="221"/>
        <v>0</v>
      </c>
      <c r="N780" s="295">
        <f t="shared" si="221"/>
        <v>0</v>
      </c>
      <c r="O780" s="295">
        <f t="shared" si="221"/>
        <v>0</v>
      </c>
      <c r="P780" s="295">
        <f t="shared" si="221"/>
        <v>0</v>
      </c>
      <c r="Q780" s="295">
        <f t="shared" si="221"/>
        <v>0</v>
      </c>
      <c r="R780" s="295">
        <f t="shared" si="221"/>
        <v>0</v>
      </c>
      <c r="S780" s="295">
        <f t="shared" si="221"/>
        <v>0</v>
      </c>
      <c r="T780" s="295">
        <f t="shared" si="221"/>
        <v>0</v>
      </c>
      <c r="U780" s="295">
        <f t="shared" si="221"/>
        <v>0</v>
      </c>
      <c r="V780" s="295">
        <f t="shared" si="221"/>
        <v>0</v>
      </c>
      <c r="W780" s="295">
        <f t="shared" si="221"/>
        <v>0</v>
      </c>
      <c r="X780" s="201">
        <f t="shared" si="221"/>
        <v>11227</v>
      </c>
      <c r="Y780" s="201">
        <f t="shared" si="221"/>
        <v>56354</v>
      </c>
      <c r="Z780" s="292"/>
      <c r="AA780" s="292"/>
      <c r="AB780" s="292"/>
      <c r="AC780" s="292"/>
    </row>
    <row r="781" spans="1:29" ht="27" customHeight="1" x14ac:dyDescent="0.25">
      <c r="A781" s="294"/>
      <c r="B781" s="179" t="s">
        <v>452</v>
      </c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1"/>
      <c r="Z781" s="292"/>
      <c r="AA781" s="292"/>
      <c r="AB781" s="292"/>
      <c r="AC781" s="292"/>
    </row>
    <row r="782" spans="1:29" ht="27" customHeight="1" x14ac:dyDescent="0.25">
      <c r="A782" s="294">
        <v>1</v>
      </c>
      <c r="B782" s="294" t="s">
        <v>453</v>
      </c>
      <c r="C782" s="166">
        <v>1</v>
      </c>
      <c r="D782" s="294">
        <v>8</v>
      </c>
      <c r="E782" s="294">
        <v>1943</v>
      </c>
      <c r="F782" s="295">
        <f>E782*C782</f>
        <v>1943</v>
      </c>
      <c r="G782" s="295"/>
      <c r="H782" s="295"/>
      <c r="I782" s="295"/>
      <c r="J782" s="295"/>
      <c r="K782" s="295"/>
      <c r="L782" s="295"/>
      <c r="M782" s="295"/>
      <c r="N782" s="295"/>
      <c r="O782" s="295"/>
      <c r="P782" s="295"/>
      <c r="Q782" s="295"/>
      <c r="R782" s="295"/>
      <c r="S782" s="295"/>
      <c r="T782" s="295"/>
      <c r="U782" s="296"/>
      <c r="V782" s="296"/>
      <c r="W782" s="152">
        <f>SUM(H782:V782)</f>
        <v>0</v>
      </c>
      <c r="X782" s="138">
        <f>W782+F782</f>
        <v>1943</v>
      </c>
      <c r="Y782" s="138">
        <f>X782*8</f>
        <v>15544</v>
      </c>
      <c r="Z782" s="292"/>
      <c r="AA782" s="292"/>
      <c r="AB782" s="292"/>
      <c r="AC782" s="292"/>
    </row>
    <row r="783" spans="1:29" ht="27" customHeight="1" x14ac:dyDescent="0.25">
      <c r="A783" s="294">
        <v>2</v>
      </c>
      <c r="B783" s="294" t="s">
        <v>318</v>
      </c>
      <c r="C783" s="166">
        <v>3</v>
      </c>
      <c r="D783" s="294">
        <v>2</v>
      </c>
      <c r="E783" s="294">
        <v>1521</v>
      </c>
      <c r="F783" s="295">
        <f t="shared" si="220"/>
        <v>4563</v>
      </c>
      <c r="G783" s="295"/>
      <c r="H783" s="295"/>
      <c r="I783" s="295"/>
      <c r="J783" s="295"/>
      <c r="K783" s="295"/>
      <c r="L783" s="295"/>
      <c r="M783" s="295"/>
      <c r="N783" s="295"/>
      <c r="O783" s="295"/>
      <c r="P783" s="295"/>
      <c r="Q783" s="295"/>
      <c r="R783" s="295"/>
      <c r="S783" s="295"/>
      <c r="T783" s="59">
        <f>ROUNDUP(F783*10%,0)</f>
        <v>457</v>
      </c>
      <c r="U783" s="296"/>
      <c r="V783" s="296"/>
      <c r="W783" s="152">
        <f>SUM(H783:V783)</f>
        <v>457</v>
      </c>
      <c r="X783" s="138">
        <f>W783+F783</f>
        <v>5020</v>
      </c>
      <c r="Y783" s="138">
        <f>X783*8</f>
        <v>40160</v>
      </c>
      <c r="Z783" s="292"/>
      <c r="AA783" s="292"/>
      <c r="AB783" s="292"/>
      <c r="AC783" s="292"/>
    </row>
    <row r="784" spans="1:29" ht="27" customHeight="1" x14ac:dyDescent="0.25">
      <c r="A784" s="294">
        <v>3</v>
      </c>
      <c r="B784" s="294" t="s">
        <v>316</v>
      </c>
      <c r="C784" s="166">
        <v>1</v>
      </c>
      <c r="D784" s="294">
        <v>2</v>
      </c>
      <c r="E784" s="294">
        <v>1521</v>
      </c>
      <c r="F784" s="295">
        <f t="shared" si="220"/>
        <v>1521</v>
      </c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301"/>
      <c r="U784" s="296"/>
      <c r="V784" s="296"/>
      <c r="W784" s="152">
        <f>SUM(H784:V784)</f>
        <v>0</v>
      </c>
      <c r="X784" s="138">
        <f>W784+F784</f>
        <v>1521</v>
      </c>
      <c r="Y784" s="138">
        <f>X784*8</f>
        <v>12168</v>
      </c>
      <c r="Z784" s="292"/>
      <c r="AA784" s="292"/>
      <c r="AB784" s="292"/>
      <c r="AC784" s="292"/>
    </row>
    <row r="785" spans="1:29" ht="27" customHeight="1" x14ac:dyDescent="0.25">
      <c r="A785" s="294">
        <v>4</v>
      </c>
      <c r="B785" s="294" t="s">
        <v>177</v>
      </c>
      <c r="C785" s="166">
        <v>1</v>
      </c>
      <c r="D785" s="294">
        <v>1</v>
      </c>
      <c r="E785" s="294">
        <v>1516</v>
      </c>
      <c r="F785" s="295">
        <f t="shared" si="220"/>
        <v>1516</v>
      </c>
      <c r="G785" s="295"/>
      <c r="H785" s="295"/>
      <c r="I785" s="295"/>
      <c r="J785" s="295"/>
      <c r="K785" s="295"/>
      <c r="L785" s="295"/>
      <c r="M785" s="295"/>
      <c r="N785" s="295"/>
      <c r="O785" s="295"/>
      <c r="P785" s="295"/>
      <c r="Q785" s="295"/>
      <c r="R785" s="295"/>
      <c r="S785" s="295"/>
      <c r="T785" s="295"/>
      <c r="U785" s="296"/>
      <c r="V785" s="296"/>
      <c r="W785" s="152">
        <f>SUM(H785:V785)</f>
        <v>0</v>
      </c>
      <c r="X785" s="138">
        <f>W785+F785</f>
        <v>1516</v>
      </c>
      <c r="Y785" s="138">
        <f>X785*8</f>
        <v>12128</v>
      </c>
      <c r="Z785" s="292"/>
      <c r="AA785" s="292"/>
      <c r="AB785" s="292"/>
      <c r="AC785" s="292"/>
    </row>
    <row r="786" spans="1:29" ht="27" customHeight="1" x14ac:dyDescent="0.25">
      <c r="A786" s="184"/>
      <c r="B786" s="299"/>
      <c r="C786" s="169">
        <f>SUM(C782:C785)</f>
        <v>6</v>
      </c>
      <c r="D786" s="169"/>
      <c r="E786" s="169"/>
      <c r="F786" s="169">
        <f>SUM(F782:F785)</f>
        <v>9543</v>
      </c>
      <c r="G786" s="169"/>
      <c r="H786" s="169">
        <f t="shared" ref="H786:Y786" si="222">SUM(H782:H785)</f>
        <v>0</v>
      </c>
      <c r="I786" s="169">
        <f t="shared" si="222"/>
        <v>0</v>
      </c>
      <c r="J786" s="169">
        <f t="shared" si="222"/>
        <v>0</v>
      </c>
      <c r="K786" s="169">
        <f t="shared" si="222"/>
        <v>0</v>
      </c>
      <c r="L786" s="169">
        <f t="shared" si="222"/>
        <v>0</v>
      </c>
      <c r="M786" s="169">
        <f t="shared" si="222"/>
        <v>0</v>
      </c>
      <c r="N786" s="169">
        <f t="shared" si="222"/>
        <v>0</v>
      </c>
      <c r="O786" s="169">
        <f t="shared" si="222"/>
        <v>0</v>
      </c>
      <c r="P786" s="169">
        <f t="shared" si="222"/>
        <v>0</v>
      </c>
      <c r="Q786" s="169">
        <f t="shared" si="222"/>
        <v>0</v>
      </c>
      <c r="R786" s="169">
        <f t="shared" si="222"/>
        <v>0</v>
      </c>
      <c r="S786" s="169">
        <f t="shared" si="222"/>
        <v>0</v>
      </c>
      <c r="T786" s="170">
        <f t="shared" si="222"/>
        <v>457</v>
      </c>
      <c r="U786" s="169">
        <f t="shared" si="222"/>
        <v>0</v>
      </c>
      <c r="V786" s="169">
        <f t="shared" si="222"/>
        <v>0</v>
      </c>
      <c r="W786" s="169">
        <f t="shared" si="222"/>
        <v>457</v>
      </c>
      <c r="X786" s="169">
        <f t="shared" si="222"/>
        <v>10000</v>
      </c>
      <c r="Y786" s="169">
        <f t="shared" si="222"/>
        <v>80000</v>
      </c>
      <c r="Z786" s="292"/>
      <c r="AA786" s="292"/>
      <c r="AB786" s="292"/>
      <c r="AC786" s="292"/>
    </row>
    <row r="787" spans="1:29" ht="34.5" customHeight="1" x14ac:dyDescent="0.25">
      <c r="A787" s="289" t="s">
        <v>454</v>
      </c>
      <c r="B787" s="290"/>
      <c r="C787" s="290"/>
      <c r="D787" s="290"/>
      <c r="E787" s="290"/>
      <c r="F787" s="290"/>
      <c r="G787" s="290"/>
      <c r="H787" s="290"/>
      <c r="I787" s="290"/>
      <c r="J787" s="290"/>
      <c r="K787" s="290"/>
      <c r="L787" s="290"/>
      <c r="M787" s="290"/>
      <c r="N787" s="290"/>
      <c r="O787" s="290"/>
      <c r="P787" s="290"/>
      <c r="Q787" s="290"/>
      <c r="R787" s="290"/>
      <c r="S787" s="290"/>
      <c r="T787" s="290"/>
      <c r="U787" s="290"/>
      <c r="V787" s="290"/>
      <c r="W787" s="290"/>
      <c r="X787" s="290"/>
      <c r="Y787" s="291"/>
      <c r="Z787" s="292"/>
      <c r="AA787" s="292"/>
      <c r="AB787" s="292"/>
      <c r="AC787" s="292"/>
    </row>
    <row r="788" spans="1:29" ht="27" customHeight="1" x14ac:dyDescent="0.25">
      <c r="A788" s="179" t="s">
        <v>455</v>
      </c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1"/>
      <c r="Z788" s="292"/>
      <c r="AA788" s="292"/>
      <c r="AB788" s="292"/>
      <c r="AC788" s="292"/>
    </row>
    <row r="789" spans="1:29" s="56" customFormat="1" ht="27" customHeight="1" x14ac:dyDescent="0.25">
      <c r="A789" s="59">
        <v>1</v>
      </c>
      <c r="B789" s="302" t="s">
        <v>456</v>
      </c>
      <c r="C789" s="303">
        <v>1</v>
      </c>
      <c r="D789" s="304">
        <v>10</v>
      </c>
      <c r="E789" s="303">
        <v>2157</v>
      </c>
      <c r="F789" s="305">
        <f>E789</f>
        <v>2157</v>
      </c>
      <c r="G789" s="305"/>
      <c r="H789" s="304"/>
      <c r="I789" s="304"/>
      <c r="J789" s="304"/>
      <c r="K789" s="304"/>
      <c r="L789" s="304"/>
      <c r="M789" s="304"/>
      <c r="N789" s="304"/>
      <c r="O789" s="304"/>
      <c r="P789" s="304"/>
      <c r="Q789" s="304"/>
      <c r="R789" s="304"/>
      <c r="S789" s="304"/>
      <c r="T789" s="304"/>
      <c r="U789" s="304"/>
      <c r="V789" s="304"/>
      <c r="W789" s="304">
        <f>SUM(H789:V789)</f>
        <v>0</v>
      </c>
      <c r="X789" s="305">
        <f>F789+W789</f>
        <v>2157</v>
      </c>
      <c r="Y789" s="305">
        <f>X789*8</f>
        <v>17256</v>
      </c>
      <c r="Z789" s="292"/>
      <c r="AA789" s="292"/>
      <c r="AB789" s="292"/>
      <c r="AC789" s="292"/>
    </row>
    <row r="790" spans="1:29" s="56" customFormat="1" ht="27" customHeight="1" x14ac:dyDescent="0.25">
      <c r="A790" s="59">
        <v>2</v>
      </c>
      <c r="B790" s="302" t="s">
        <v>457</v>
      </c>
      <c r="C790" s="303">
        <v>1</v>
      </c>
      <c r="D790" s="303">
        <v>9</v>
      </c>
      <c r="E790" s="303">
        <v>2050</v>
      </c>
      <c r="F790" s="305">
        <f>C790*E790</f>
        <v>2050</v>
      </c>
      <c r="G790" s="305"/>
      <c r="H790" s="304"/>
      <c r="I790" s="304"/>
      <c r="J790" s="304"/>
      <c r="K790" s="304"/>
      <c r="L790" s="304"/>
      <c r="M790" s="304"/>
      <c r="N790" s="304"/>
      <c r="O790" s="304"/>
      <c r="P790" s="304"/>
      <c r="Q790" s="304"/>
      <c r="R790" s="304"/>
      <c r="S790" s="304"/>
      <c r="T790" s="304"/>
      <c r="U790" s="304"/>
      <c r="V790" s="304"/>
      <c r="W790" s="304">
        <f>SUM(H790:V790)</f>
        <v>0</v>
      </c>
      <c r="X790" s="305">
        <f>F790+W790</f>
        <v>2050</v>
      </c>
      <c r="Y790" s="305">
        <f>X790*8</f>
        <v>16400</v>
      </c>
      <c r="Z790" s="292"/>
      <c r="AA790" s="292"/>
      <c r="AB790" s="292"/>
      <c r="AC790" s="292"/>
    </row>
    <row r="791" spans="1:29" s="56" customFormat="1" ht="27" customHeight="1" x14ac:dyDescent="0.25">
      <c r="A791" s="59">
        <v>3</v>
      </c>
      <c r="B791" s="302" t="s">
        <v>458</v>
      </c>
      <c r="C791" s="303">
        <v>1</v>
      </c>
      <c r="D791" s="303">
        <v>6</v>
      </c>
      <c r="E791" s="303">
        <v>1718</v>
      </c>
      <c r="F791" s="305">
        <f>C791*E791</f>
        <v>1718</v>
      </c>
      <c r="G791" s="305"/>
      <c r="H791" s="304"/>
      <c r="I791" s="304"/>
      <c r="J791" s="304"/>
      <c r="K791" s="304"/>
      <c r="L791" s="304"/>
      <c r="M791" s="304"/>
      <c r="N791" s="304"/>
      <c r="O791" s="304"/>
      <c r="P791" s="304"/>
      <c r="Q791" s="304"/>
      <c r="R791" s="304"/>
      <c r="S791" s="304"/>
      <c r="T791" s="304"/>
      <c r="U791" s="304"/>
      <c r="V791" s="304"/>
      <c r="W791" s="304">
        <f>SUM(H791:V791)</f>
        <v>0</v>
      </c>
      <c r="X791" s="305">
        <f>F791+W791</f>
        <v>1718</v>
      </c>
      <c r="Y791" s="305">
        <f>X791*8</f>
        <v>13744</v>
      </c>
      <c r="Z791" s="292"/>
      <c r="AA791" s="292"/>
      <c r="AB791" s="292"/>
      <c r="AC791" s="292"/>
    </row>
    <row r="792" spans="1:29" s="56" customFormat="1" ht="27" customHeight="1" x14ac:dyDescent="0.25">
      <c r="A792" s="59"/>
      <c r="B792" s="184"/>
      <c r="C792" s="178">
        <f>SUM(C789:C791)</f>
        <v>3</v>
      </c>
      <c r="D792" s="178"/>
      <c r="E792" s="178"/>
      <c r="F792" s="171">
        <f>SUM(F789:F791)</f>
        <v>5925</v>
      </c>
      <c r="G792" s="171"/>
      <c r="H792" s="171">
        <f t="shared" ref="H792:Y792" si="223">SUM(H789:H791)</f>
        <v>0</v>
      </c>
      <c r="I792" s="171">
        <f t="shared" si="223"/>
        <v>0</v>
      </c>
      <c r="J792" s="171">
        <f t="shared" si="223"/>
        <v>0</v>
      </c>
      <c r="K792" s="171">
        <f t="shared" si="223"/>
        <v>0</v>
      </c>
      <c r="L792" s="171">
        <f t="shared" si="223"/>
        <v>0</v>
      </c>
      <c r="M792" s="171">
        <f t="shared" si="223"/>
        <v>0</v>
      </c>
      <c r="N792" s="171">
        <f t="shared" si="223"/>
        <v>0</v>
      </c>
      <c r="O792" s="171">
        <f t="shared" si="223"/>
        <v>0</v>
      </c>
      <c r="P792" s="171">
        <f t="shared" si="223"/>
        <v>0</v>
      </c>
      <c r="Q792" s="171">
        <f t="shared" si="223"/>
        <v>0</v>
      </c>
      <c r="R792" s="171">
        <f t="shared" si="223"/>
        <v>0</v>
      </c>
      <c r="S792" s="171">
        <f t="shared" si="223"/>
        <v>0</v>
      </c>
      <c r="T792" s="171">
        <f t="shared" si="223"/>
        <v>0</v>
      </c>
      <c r="U792" s="171">
        <f t="shared" si="223"/>
        <v>0</v>
      </c>
      <c r="V792" s="171">
        <f t="shared" si="223"/>
        <v>0</v>
      </c>
      <c r="W792" s="171">
        <f t="shared" si="223"/>
        <v>0</v>
      </c>
      <c r="X792" s="171">
        <f t="shared" si="223"/>
        <v>5925</v>
      </c>
      <c r="Y792" s="171">
        <f t="shared" si="223"/>
        <v>47400</v>
      </c>
      <c r="Z792" s="171">
        <f>SUM(Z789:Z791)</f>
        <v>0</v>
      </c>
      <c r="AA792" s="171">
        <f>SUM(AA789:AA791)</f>
        <v>0</v>
      </c>
      <c r="AB792" s="171">
        <f>SUM(AB789:AB791)</f>
        <v>0</v>
      </c>
      <c r="AC792" s="171">
        <f>SUM(AC789:AC791)</f>
        <v>0</v>
      </c>
    </row>
    <row r="793" spans="1:29" s="56" customFormat="1" ht="27" customHeight="1" x14ac:dyDescent="0.25">
      <c r="A793" s="306" t="s">
        <v>459</v>
      </c>
      <c r="B793" s="307"/>
      <c r="C793" s="307"/>
      <c r="D793" s="307"/>
      <c r="E793" s="307"/>
      <c r="F793" s="307"/>
      <c r="G793" s="307"/>
      <c r="H793" s="307"/>
      <c r="I793" s="307"/>
      <c r="J793" s="307"/>
      <c r="K793" s="307"/>
      <c r="L793" s="307"/>
      <c r="M793" s="307"/>
      <c r="N793" s="307"/>
      <c r="O793" s="307"/>
      <c r="P793" s="307"/>
      <c r="Q793" s="307"/>
      <c r="R793" s="307"/>
      <c r="S793" s="307"/>
      <c r="T793" s="307"/>
      <c r="U793" s="307"/>
      <c r="V793" s="307"/>
      <c r="W793" s="307"/>
      <c r="X793" s="307"/>
      <c r="Y793" s="308"/>
      <c r="Z793" s="309"/>
      <c r="AA793" s="309"/>
      <c r="AB793" s="309"/>
      <c r="AC793" s="309"/>
    </row>
    <row r="794" spans="1:29" s="56" customFormat="1" ht="27" customHeight="1" x14ac:dyDescent="0.25">
      <c r="A794" s="310">
        <v>1</v>
      </c>
      <c r="B794" s="311" t="s">
        <v>460</v>
      </c>
      <c r="C794" s="312">
        <v>0.75</v>
      </c>
      <c r="D794" s="313">
        <v>9</v>
      </c>
      <c r="E794" s="313">
        <v>2050</v>
      </c>
      <c r="F794" s="314">
        <f>C794*E794</f>
        <v>1537.5</v>
      </c>
      <c r="G794" s="314"/>
      <c r="H794" s="315"/>
      <c r="I794" s="315"/>
      <c r="J794" s="315"/>
      <c r="K794" s="315"/>
      <c r="L794" s="315"/>
      <c r="M794" s="315"/>
      <c r="N794" s="315"/>
      <c r="O794" s="315"/>
      <c r="P794" s="315"/>
      <c r="Q794" s="315"/>
      <c r="R794" s="315"/>
      <c r="S794" s="315"/>
      <c r="T794" s="315"/>
      <c r="U794" s="315"/>
      <c r="V794" s="315"/>
      <c r="W794" s="316">
        <f>SUM(H794:V794)</f>
        <v>0</v>
      </c>
      <c r="X794" s="314">
        <f>F794+W794</f>
        <v>1537.5</v>
      </c>
      <c r="Y794" s="314">
        <f>X794*8</f>
        <v>12300</v>
      </c>
      <c r="Z794" s="309"/>
      <c r="AA794" s="309"/>
      <c r="AB794" s="309"/>
      <c r="AC794" s="309"/>
    </row>
    <row r="795" spans="1:29" s="56" customFormat="1" ht="27" customHeight="1" x14ac:dyDescent="0.25">
      <c r="A795" s="317"/>
      <c r="B795" s="318"/>
      <c r="C795" s="319">
        <f>SUM(C794:C794)</f>
        <v>0.75</v>
      </c>
      <c r="D795" s="320"/>
      <c r="E795" s="320"/>
      <c r="F795" s="321">
        <f t="shared" ref="F795:Y795" si="224">SUM(F794:F794)</f>
        <v>1537.5</v>
      </c>
      <c r="G795" s="321"/>
      <c r="H795" s="322">
        <f t="shared" si="224"/>
        <v>0</v>
      </c>
      <c r="I795" s="322">
        <f t="shared" si="224"/>
        <v>0</v>
      </c>
      <c r="J795" s="322">
        <f t="shared" si="224"/>
        <v>0</v>
      </c>
      <c r="K795" s="322">
        <f t="shared" si="224"/>
        <v>0</v>
      </c>
      <c r="L795" s="322">
        <f t="shared" si="224"/>
        <v>0</v>
      </c>
      <c r="M795" s="322">
        <f t="shared" si="224"/>
        <v>0</v>
      </c>
      <c r="N795" s="322">
        <f t="shared" si="224"/>
        <v>0</v>
      </c>
      <c r="O795" s="322">
        <f t="shared" si="224"/>
        <v>0</v>
      </c>
      <c r="P795" s="322">
        <f t="shared" si="224"/>
        <v>0</v>
      </c>
      <c r="Q795" s="322">
        <f t="shared" si="224"/>
        <v>0</v>
      </c>
      <c r="R795" s="322">
        <f t="shared" si="224"/>
        <v>0</v>
      </c>
      <c r="S795" s="322">
        <f t="shared" si="224"/>
        <v>0</v>
      </c>
      <c r="T795" s="322">
        <f t="shared" si="224"/>
        <v>0</v>
      </c>
      <c r="U795" s="322">
        <f t="shared" si="224"/>
        <v>0</v>
      </c>
      <c r="V795" s="322">
        <f t="shared" si="224"/>
        <v>0</v>
      </c>
      <c r="W795" s="322">
        <f t="shared" si="224"/>
        <v>0</v>
      </c>
      <c r="X795" s="321">
        <f t="shared" si="224"/>
        <v>1537.5</v>
      </c>
      <c r="Y795" s="321">
        <f t="shared" si="224"/>
        <v>12300</v>
      </c>
      <c r="Z795" s="309"/>
      <c r="AA795" s="309"/>
      <c r="AB795" s="309"/>
      <c r="AC795" s="309"/>
    </row>
    <row r="796" spans="1:29" s="56" customFormat="1" ht="19.5" customHeight="1" x14ac:dyDescent="0.25">
      <c r="A796" s="179" t="s">
        <v>461</v>
      </c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1"/>
      <c r="Z796" s="292"/>
      <c r="AA796" s="292"/>
      <c r="AB796" s="292"/>
      <c r="AC796" s="292"/>
    </row>
    <row r="797" spans="1:29" s="56" customFormat="1" ht="27" customHeight="1" x14ac:dyDescent="0.25">
      <c r="A797" s="323">
        <v>1</v>
      </c>
      <c r="B797" s="311" t="s">
        <v>462</v>
      </c>
      <c r="C797" s="324">
        <v>1</v>
      </c>
      <c r="D797" s="324">
        <v>12</v>
      </c>
      <c r="E797" s="325">
        <v>2512</v>
      </c>
      <c r="F797" s="314">
        <f>C797*E797</f>
        <v>2512</v>
      </c>
      <c r="G797" s="314"/>
      <c r="H797" s="325"/>
      <c r="I797" s="316">
        <f>ROUNDUP(F797*20%,0)</f>
        <v>503</v>
      </c>
      <c r="J797" s="325"/>
      <c r="K797" s="325"/>
      <c r="L797" s="325"/>
      <c r="M797" s="316"/>
      <c r="N797" s="316">
        <f>ROUNDUP(F797*30%,0)</f>
        <v>754</v>
      </c>
      <c r="O797" s="325"/>
      <c r="P797" s="325"/>
      <c r="Q797" s="325"/>
      <c r="R797" s="325"/>
      <c r="S797" s="325"/>
      <c r="T797" s="325"/>
      <c r="U797" s="325"/>
      <c r="V797" s="325"/>
      <c r="W797" s="316">
        <f>SUM(H797:V797)</f>
        <v>1257</v>
      </c>
      <c r="X797" s="314">
        <f>F797+W797</f>
        <v>3769</v>
      </c>
      <c r="Y797" s="314">
        <f>X797*8</f>
        <v>30152</v>
      </c>
      <c r="Z797" s="292"/>
      <c r="AA797" s="292"/>
      <c r="AB797" s="292"/>
      <c r="AC797" s="292"/>
    </row>
    <row r="798" spans="1:29" s="56" customFormat="1" ht="27" customHeight="1" x14ac:dyDescent="0.25">
      <c r="A798" s="326">
        <v>2</v>
      </c>
      <c r="B798" s="302" t="s">
        <v>463</v>
      </c>
      <c r="C798" s="303">
        <v>3</v>
      </c>
      <c r="D798" s="303">
        <v>10</v>
      </c>
      <c r="E798" s="303">
        <v>2157</v>
      </c>
      <c r="F798" s="305">
        <f>E798*C798</f>
        <v>6471</v>
      </c>
      <c r="G798" s="305"/>
      <c r="H798" s="304"/>
      <c r="I798" s="304">
        <f>ROUNDUP(F798*20%,0)</f>
        <v>1295</v>
      </c>
      <c r="J798" s="304"/>
      <c r="K798" s="304"/>
      <c r="L798" s="304"/>
      <c r="M798" s="59"/>
      <c r="N798" s="304">
        <f>ROUNDUP(F798*30%,0)</f>
        <v>1942</v>
      </c>
      <c r="O798" s="304"/>
      <c r="P798" s="304"/>
      <c r="Q798" s="304"/>
      <c r="R798" s="304"/>
      <c r="S798" s="304"/>
      <c r="T798" s="304"/>
      <c r="U798" s="304"/>
      <c r="V798" s="304"/>
      <c r="W798" s="304">
        <f>SUM(H798:V798)</f>
        <v>3237</v>
      </c>
      <c r="X798" s="305">
        <f>F798+W798</f>
        <v>9708</v>
      </c>
      <c r="Y798" s="314">
        <f>X798*8</f>
        <v>77664</v>
      </c>
      <c r="Z798" s="292"/>
      <c r="AA798" s="292"/>
      <c r="AB798" s="292"/>
      <c r="AC798" s="292"/>
    </row>
    <row r="799" spans="1:29" s="56" customFormat="1" ht="27" customHeight="1" x14ac:dyDescent="0.25">
      <c r="A799" s="326">
        <v>3</v>
      </c>
      <c r="B799" s="327" t="s">
        <v>130</v>
      </c>
      <c r="C799" s="303">
        <v>1.5</v>
      </c>
      <c r="D799" s="313">
        <v>9</v>
      </c>
      <c r="E799" s="313">
        <v>2050</v>
      </c>
      <c r="F799" s="314">
        <f>C799*E799</f>
        <v>3075</v>
      </c>
      <c r="G799" s="305"/>
      <c r="H799" s="304"/>
      <c r="I799" s="304">
        <f>ROUNDUP(F799*20%,0)</f>
        <v>615</v>
      </c>
      <c r="J799" s="304"/>
      <c r="K799" s="304"/>
      <c r="L799" s="304"/>
      <c r="M799" s="59"/>
      <c r="N799" s="304">
        <f>ROUNDUP(F799*20%,0)</f>
        <v>615</v>
      </c>
      <c r="O799" s="304"/>
      <c r="P799" s="304"/>
      <c r="Q799" s="304"/>
      <c r="R799" s="304"/>
      <c r="S799" s="304"/>
      <c r="T799" s="304"/>
      <c r="U799" s="304"/>
      <c r="V799" s="304"/>
      <c r="W799" s="304">
        <f>SUM(H799:V799)</f>
        <v>1230</v>
      </c>
      <c r="X799" s="305">
        <f>F799+W799</f>
        <v>4305</v>
      </c>
      <c r="Y799" s="314">
        <f>X799*8</f>
        <v>34440</v>
      </c>
      <c r="Z799" s="292"/>
      <c r="AA799" s="292"/>
      <c r="AB799" s="292"/>
      <c r="AC799" s="292"/>
    </row>
    <row r="800" spans="1:29" s="56" customFormat="1" ht="27" customHeight="1" x14ac:dyDescent="0.25">
      <c r="A800" s="326">
        <v>4</v>
      </c>
      <c r="B800" s="328" t="s">
        <v>464</v>
      </c>
      <c r="C800" s="329">
        <v>0.75</v>
      </c>
      <c r="D800" s="329">
        <v>8</v>
      </c>
      <c r="E800" s="329">
        <v>1943</v>
      </c>
      <c r="F800" s="305">
        <f>E800*C800</f>
        <v>1457.25</v>
      </c>
      <c r="G800" s="305"/>
      <c r="H800" s="304"/>
      <c r="I800" s="304">
        <f>ROUNDUP(F800*20%,0)</f>
        <v>292</v>
      </c>
      <c r="J800" s="304"/>
      <c r="K800" s="304"/>
      <c r="L800" s="304"/>
      <c r="M800" s="59"/>
      <c r="N800" s="304">
        <f>ROUNDUP(F800*20%,0)</f>
        <v>292</v>
      </c>
      <c r="O800" s="304"/>
      <c r="P800" s="304"/>
      <c r="Q800" s="304"/>
      <c r="R800" s="304"/>
      <c r="S800" s="304"/>
      <c r="T800" s="304"/>
      <c r="U800" s="304"/>
      <c r="V800" s="304"/>
      <c r="W800" s="304">
        <f>SUM(H800:V800)</f>
        <v>584</v>
      </c>
      <c r="X800" s="305">
        <f>F800+W800</f>
        <v>2041.25</v>
      </c>
      <c r="Y800" s="314">
        <f>X800*8</f>
        <v>16330</v>
      </c>
      <c r="Z800" s="292"/>
      <c r="AA800" s="292"/>
      <c r="AB800" s="292"/>
      <c r="AC800" s="292"/>
    </row>
    <row r="801" spans="1:29" s="56" customFormat="1" ht="27" customHeight="1" x14ac:dyDescent="0.25">
      <c r="A801" s="330" t="s">
        <v>465</v>
      </c>
      <c r="B801" s="331"/>
      <c r="C801" s="332">
        <f>SUM(C797:C800)</f>
        <v>6.25</v>
      </c>
      <c r="D801" s="332"/>
      <c r="E801" s="303"/>
      <c r="F801" s="332">
        <f>SUM(F797:F800)</f>
        <v>13515.25</v>
      </c>
      <c r="G801" s="332"/>
      <c r="H801" s="332">
        <f t="shared" ref="H801:X801" si="225">SUM(H797:H800)</f>
        <v>0</v>
      </c>
      <c r="I801" s="332">
        <f t="shared" si="225"/>
        <v>2705</v>
      </c>
      <c r="J801" s="332">
        <f t="shared" si="225"/>
        <v>0</v>
      </c>
      <c r="K801" s="332">
        <f t="shared" si="225"/>
        <v>0</v>
      </c>
      <c r="L801" s="332">
        <f t="shared" si="225"/>
        <v>0</v>
      </c>
      <c r="M801" s="332">
        <f t="shared" si="225"/>
        <v>0</v>
      </c>
      <c r="N801" s="332">
        <f t="shared" si="225"/>
        <v>3603</v>
      </c>
      <c r="O801" s="332">
        <f t="shared" si="225"/>
        <v>0</v>
      </c>
      <c r="P801" s="332">
        <f t="shared" si="225"/>
        <v>0</v>
      </c>
      <c r="Q801" s="332">
        <f t="shared" si="225"/>
        <v>0</v>
      </c>
      <c r="R801" s="332">
        <f t="shared" si="225"/>
        <v>0</v>
      </c>
      <c r="S801" s="332">
        <f t="shared" si="225"/>
        <v>0</v>
      </c>
      <c r="T801" s="332">
        <f t="shared" si="225"/>
        <v>0</v>
      </c>
      <c r="U801" s="332">
        <f t="shared" si="225"/>
        <v>0</v>
      </c>
      <c r="V801" s="332">
        <f t="shared" si="225"/>
        <v>0</v>
      </c>
      <c r="W801" s="332">
        <f t="shared" si="225"/>
        <v>6308</v>
      </c>
      <c r="X801" s="332">
        <f t="shared" si="225"/>
        <v>19823.25</v>
      </c>
      <c r="Y801" s="333">
        <f>SUM(Y797:Y800)</f>
        <v>158586</v>
      </c>
      <c r="Z801" s="332">
        <f>SUM(Z797:Z800)</f>
        <v>0</v>
      </c>
      <c r="AA801" s="292"/>
      <c r="AB801" s="292"/>
      <c r="AC801" s="292"/>
    </row>
    <row r="802" spans="1:29" ht="27" customHeight="1" x14ac:dyDescent="0.25">
      <c r="A802" s="306" t="s">
        <v>466</v>
      </c>
      <c r="B802" s="307"/>
      <c r="C802" s="307"/>
      <c r="D802" s="307"/>
      <c r="E802" s="307"/>
      <c r="F802" s="307"/>
      <c r="G802" s="307"/>
      <c r="H802" s="307"/>
      <c r="I802" s="307"/>
      <c r="J802" s="307"/>
      <c r="K802" s="307"/>
      <c r="L802" s="307"/>
      <c r="M802" s="307"/>
      <c r="N802" s="307"/>
      <c r="O802" s="307"/>
      <c r="P802" s="307"/>
      <c r="Q802" s="307"/>
      <c r="R802" s="307"/>
      <c r="S802" s="307"/>
      <c r="T802" s="307"/>
      <c r="U802" s="307"/>
      <c r="V802" s="307"/>
      <c r="W802" s="307"/>
      <c r="X802" s="307"/>
      <c r="Y802" s="308"/>
      <c r="Z802" s="292"/>
      <c r="AA802" s="292"/>
      <c r="AB802" s="292"/>
      <c r="AC802" s="292"/>
    </row>
    <row r="803" spans="1:29" ht="24" customHeight="1" x14ac:dyDescent="0.25">
      <c r="A803" s="310">
        <v>1</v>
      </c>
      <c r="B803" s="311" t="s">
        <v>467</v>
      </c>
      <c r="C803" s="310">
        <v>0.25</v>
      </c>
      <c r="D803" s="310">
        <v>12</v>
      </c>
      <c r="E803" s="310">
        <v>2512</v>
      </c>
      <c r="F803" s="334">
        <f>C803*E803</f>
        <v>628</v>
      </c>
      <c r="G803" s="334"/>
      <c r="H803" s="316"/>
      <c r="I803" s="316"/>
      <c r="J803" s="316"/>
      <c r="K803" s="316"/>
      <c r="L803" s="316"/>
      <c r="M803" s="316"/>
      <c r="N803" s="316"/>
      <c r="O803" s="316"/>
      <c r="P803" s="316"/>
      <c r="Q803" s="316"/>
      <c r="R803" s="316"/>
      <c r="S803" s="316"/>
      <c r="T803" s="316"/>
      <c r="U803" s="316"/>
      <c r="V803" s="316"/>
      <c r="W803" s="316">
        <f>SUM(H803:V803)</f>
        <v>0</v>
      </c>
      <c r="X803" s="314">
        <f>F803+W803</f>
        <v>628</v>
      </c>
      <c r="Y803" s="314">
        <f>X803*8</f>
        <v>5024</v>
      </c>
      <c r="Z803" s="292"/>
      <c r="AA803" s="292"/>
      <c r="AB803" s="292"/>
      <c r="AC803" s="292"/>
    </row>
    <row r="804" spans="1:29" ht="22.5" customHeight="1" x14ac:dyDescent="0.25">
      <c r="A804" s="310">
        <v>2</v>
      </c>
      <c r="B804" s="311" t="s">
        <v>468</v>
      </c>
      <c r="C804" s="310">
        <v>0.25</v>
      </c>
      <c r="D804" s="310">
        <v>9</v>
      </c>
      <c r="E804" s="310">
        <v>2050</v>
      </c>
      <c r="F804" s="334">
        <f>C804*E804</f>
        <v>512.5</v>
      </c>
      <c r="G804" s="334"/>
      <c r="H804" s="316"/>
      <c r="I804" s="316"/>
      <c r="J804" s="316"/>
      <c r="K804" s="316"/>
      <c r="L804" s="316"/>
      <c r="M804" s="316"/>
      <c r="N804" s="316"/>
      <c r="O804" s="316"/>
      <c r="P804" s="316"/>
      <c r="Q804" s="316"/>
      <c r="R804" s="316"/>
      <c r="S804" s="316"/>
      <c r="T804" s="316"/>
      <c r="U804" s="316"/>
      <c r="V804" s="316"/>
      <c r="W804" s="316">
        <f>SUM(H804:V804)</f>
        <v>0</v>
      </c>
      <c r="X804" s="314">
        <f>F804+W804</f>
        <v>512.5</v>
      </c>
      <c r="Y804" s="314">
        <f>X804*8</f>
        <v>4100</v>
      </c>
      <c r="Z804" s="292"/>
      <c r="AA804" s="292"/>
      <c r="AB804" s="292"/>
      <c r="AC804" s="292"/>
    </row>
    <row r="805" spans="1:29" ht="27" customHeight="1" x14ac:dyDescent="0.25">
      <c r="A805" s="335"/>
      <c r="B805" s="336"/>
      <c r="C805" s="337">
        <f>SUM(C803:C804)</f>
        <v>0.5</v>
      </c>
      <c r="D805" s="337"/>
      <c r="E805" s="337"/>
      <c r="F805" s="338">
        <f t="shared" ref="F805:Y805" si="226">SUM(F803:F804)</f>
        <v>1140.5</v>
      </c>
      <c r="G805" s="338"/>
      <c r="H805" s="339">
        <f t="shared" si="226"/>
        <v>0</v>
      </c>
      <c r="I805" s="339">
        <f t="shared" si="226"/>
        <v>0</v>
      </c>
      <c r="J805" s="339">
        <f t="shared" si="226"/>
        <v>0</v>
      </c>
      <c r="K805" s="339">
        <f t="shared" si="226"/>
        <v>0</v>
      </c>
      <c r="L805" s="339">
        <f t="shared" si="226"/>
        <v>0</v>
      </c>
      <c r="M805" s="339">
        <f t="shared" si="226"/>
        <v>0</v>
      </c>
      <c r="N805" s="339">
        <f t="shared" si="226"/>
        <v>0</v>
      </c>
      <c r="O805" s="339">
        <f t="shared" si="226"/>
        <v>0</v>
      </c>
      <c r="P805" s="339">
        <f t="shared" si="226"/>
        <v>0</v>
      </c>
      <c r="Q805" s="339">
        <f t="shared" si="226"/>
        <v>0</v>
      </c>
      <c r="R805" s="339">
        <f t="shared" si="226"/>
        <v>0</v>
      </c>
      <c r="S805" s="339">
        <f t="shared" si="226"/>
        <v>0</v>
      </c>
      <c r="T805" s="339">
        <f t="shared" si="226"/>
        <v>0</v>
      </c>
      <c r="U805" s="339">
        <f t="shared" si="226"/>
        <v>0</v>
      </c>
      <c r="V805" s="339">
        <f t="shared" si="226"/>
        <v>0</v>
      </c>
      <c r="W805" s="339">
        <f t="shared" si="226"/>
        <v>0</v>
      </c>
      <c r="X805" s="340">
        <f t="shared" si="226"/>
        <v>1140.5</v>
      </c>
      <c r="Y805" s="340">
        <f t="shared" si="226"/>
        <v>9124</v>
      </c>
      <c r="Z805" s="292"/>
      <c r="AA805" s="292"/>
      <c r="AB805" s="292"/>
      <c r="AC805" s="292"/>
    </row>
    <row r="806" spans="1:29" ht="18.75" customHeight="1" x14ac:dyDescent="0.25">
      <c r="A806" s="306" t="s">
        <v>452</v>
      </c>
      <c r="B806" s="307"/>
      <c r="C806" s="307"/>
      <c r="D806" s="307"/>
      <c r="E806" s="307"/>
      <c r="F806" s="307"/>
      <c r="G806" s="307"/>
      <c r="H806" s="307"/>
      <c r="I806" s="307"/>
      <c r="J806" s="307"/>
      <c r="K806" s="307"/>
      <c r="L806" s="307"/>
      <c r="M806" s="307"/>
      <c r="N806" s="307"/>
      <c r="O806" s="307"/>
      <c r="P806" s="307"/>
      <c r="Q806" s="307"/>
      <c r="R806" s="307"/>
      <c r="S806" s="307"/>
      <c r="T806" s="307"/>
      <c r="U806" s="307"/>
      <c r="V806" s="307"/>
      <c r="W806" s="307"/>
      <c r="X806" s="307"/>
      <c r="Y806" s="308"/>
      <c r="Z806" s="292"/>
      <c r="AA806" s="292"/>
      <c r="AB806" s="292"/>
      <c r="AC806" s="292"/>
    </row>
    <row r="807" spans="1:29" ht="27" customHeight="1" x14ac:dyDescent="0.25">
      <c r="A807" s="341">
        <v>1</v>
      </c>
      <c r="B807" s="342" t="s">
        <v>467</v>
      </c>
      <c r="C807" s="343">
        <v>0.5</v>
      </c>
      <c r="D807" s="344">
        <v>10</v>
      </c>
      <c r="E807" s="325">
        <v>2157</v>
      </c>
      <c r="F807" s="314">
        <f>C807*E807</f>
        <v>1078.5</v>
      </c>
      <c r="G807" s="314"/>
      <c r="H807" s="316"/>
      <c r="I807" s="316"/>
      <c r="J807" s="316"/>
      <c r="K807" s="316"/>
      <c r="L807" s="316"/>
      <c r="M807" s="316"/>
      <c r="N807" s="316"/>
      <c r="O807" s="345"/>
      <c r="P807" s="345"/>
      <c r="Q807" s="345"/>
      <c r="R807" s="345"/>
      <c r="S807" s="345"/>
      <c r="T807" s="345"/>
      <c r="U807" s="345"/>
      <c r="V807" s="345"/>
      <c r="W807" s="316">
        <f>SUM(H807:V807)</f>
        <v>0</v>
      </c>
      <c r="X807" s="314">
        <f>F807+W807</f>
        <v>1078.5</v>
      </c>
      <c r="Y807" s="314">
        <f>X807*8</f>
        <v>8628</v>
      </c>
      <c r="Z807" s="292"/>
      <c r="AA807" s="292"/>
      <c r="AB807" s="292"/>
      <c r="AC807" s="292"/>
    </row>
    <row r="808" spans="1:29" ht="27" customHeight="1" x14ac:dyDescent="0.25">
      <c r="A808" s="310">
        <v>2</v>
      </c>
      <c r="B808" s="311" t="s">
        <v>469</v>
      </c>
      <c r="C808" s="311">
        <v>1</v>
      </c>
      <c r="D808" s="311">
        <v>8</v>
      </c>
      <c r="E808" s="325">
        <v>1943</v>
      </c>
      <c r="F808" s="314">
        <f>C808*E808</f>
        <v>1943</v>
      </c>
      <c r="G808" s="314"/>
      <c r="H808" s="316"/>
      <c r="I808" s="316"/>
      <c r="J808" s="316"/>
      <c r="K808" s="316"/>
      <c r="L808" s="316"/>
      <c r="M808" s="316"/>
      <c r="N808" s="316"/>
      <c r="O808" s="316"/>
      <c r="P808" s="316"/>
      <c r="Q808" s="316"/>
      <c r="R808" s="316"/>
      <c r="S808" s="316"/>
      <c r="T808" s="316"/>
      <c r="U808" s="316"/>
      <c r="V808" s="316"/>
      <c r="W808" s="316">
        <f>SUM(H808:V808)</f>
        <v>0</v>
      </c>
      <c r="X808" s="314">
        <f>F808+W808</f>
        <v>1943</v>
      </c>
      <c r="Y808" s="314">
        <f>X808*8</f>
        <v>15544</v>
      </c>
      <c r="Z808" s="292"/>
      <c r="AA808" s="292"/>
      <c r="AB808" s="292"/>
      <c r="AC808" s="292"/>
    </row>
    <row r="809" spans="1:29" ht="27" customHeight="1" x14ac:dyDescent="0.25">
      <c r="A809" s="341">
        <v>3</v>
      </c>
      <c r="B809" s="311" t="s">
        <v>470</v>
      </c>
      <c r="C809" s="311">
        <v>0.5</v>
      </c>
      <c r="D809" s="311">
        <v>9</v>
      </c>
      <c r="E809" s="325">
        <v>2050</v>
      </c>
      <c r="F809" s="314">
        <f>C809*E809</f>
        <v>1025</v>
      </c>
      <c r="G809" s="314"/>
      <c r="H809" s="316"/>
      <c r="I809" s="316"/>
      <c r="J809" s="316"/>
      <c r="K809" s="316"/>
      <c r="L809" s="316"/>
      <c r="M809" s="316"/>
      <c r="N809" s="316"/>
      <c r="O809" s="316"/>
      <c r="P809" s="316"/>
      <c r="Q809" s="316"/>
      <c r="R809" s="316"/>
      <c r="S809" s="316"/>
      <c r="T809" s="316"/>
      <c r="U809" s="316"/>
      <c r="V809" s="316"/>
      <c r="W809" s="316">
        <f>SUM(H809:V809)</f>
        <v>0</v>
      </c>
      <c r="X809" s="314">
        <f>F809+W809</f>
        <v>1025</v>
      </c>
      <c r="Y809" s="314">
        <f>X809*8</f>
        <v>8200</v>
      </c>
      <c r="Z809" s="292"/>
      <c r="AA809" s="292"/>
      <c r="AB809" s="292"/>
      <c r="AC809" s="292"/>
    </row>
    <row r="810" spans="1:29" ht="27" customHeight="1" x14ac:dyDescent="0.25">
      <c r="A810" s="310">
        <v>4</v>
      </c>
      <c r="B810" s="311" t="s">
        <v>140</v>
      </c>
      <c r="C810" s="346">
        <v>1</v>
      </c>
      <c r="D810" s="311">
        <v>5</v>
      </c>
      <c r="E810" s="325">
        <v>1612</v>
      </c>
      <c r="F810" s="314">
        <f>C810*E810</f>
        <v>1612</v>
      </c>
      <c r="G810" s="314"/>
      <c r="H810" s="316"/>
      <c r="I810" s="316"/>
      <c r="J810" s="316"/>
      <c r="K810" s="316"/>
      <c r="L810" s="316"/>
      <c r="M810" s="316"/>
      <c r="N810" s="316"/>
      <c r="O810" s="316"/>
      <c r="P810" s="316"/>
      <c r="Q810" s="316"/>
      <c r="R810" s="316"/>
      <c r="S810" s="316"/>
      <c r="T810" s="316"/>
      <c r="U810" s="316"/>
      <c r="V810" s="316"/>
      <c r="W810" s="316">
        <f>SUM(H810:V810)</f>
        <v>0</v>
      </c>
      <c r="X810" s="314">
        <f>F810+W810</f>
        <v>1612</v>
      </c>
      <c r="Y810" s="314">
        <f>X810*8</f>
        <v>12896</v>
      </c>
      <c r="Z810" s="292"/>
      <c r="AA810" s="292"/>
      <c r="AB810" s="292"/>
      <c r="AC810" s="292"/>
    </row>
    <row r="811" spans="1:29" ht="27" customHeight="1" x14ac:dyDescent="0.25">
      <c r="A811" s="341">
        <v>5</v>
      </c>
      <c r="B811" s="311" t="s">
        <v>471</v>
      </c>
      <c r="C811" s="311">
        <v>1</v>
      </c>
      <c r="D811" s="311">
        <v>2</v>
      </c>
      <c r="E811" s="325">
        <v>1521</v>
      </c>
      <c r="F811" s="314">
        <f>C811*E811</f>
        <v>1521</v>
      </c>
      <c r="G811" s="314"/>
      <c r="H811" s="316"/>
      <c r="I811" s="316"/>
      <c r="J811" s="316"/>
      <c r="K811" s="316"/>
      <c r="L811" s="316"/>
      <c r="M811" s="316"/>
      <c r="N811" s="316"/>
      <c r="O811" s="316"/>
      <c r="P811" s="316"/>
      <c r="Q811" s="316"/>
      <c r="R811" s="316"/>
      <c r="S811" s="316"/>
      <c r="T811" s="316"/>
      <c r="U811" s="316"/>
      <c r="V811" s="316"/>
      <c r="W811" s="316">
        <f>SUM(H811:V811)</f>
        <v>0</v>
      </c>
      <c r="X811" s="314">
        <f>F811+W811</f>
        <v>1521</v>
      </c>
      <c r="Y811" s="314">
        <f>X811*8</f>
        <v>12168</v>
      </c>
      <c r="Z811" s="292"/>
      <c r="AA811" s="292"/>
      <c r="AB811" s="292"/>
      <c r="AC811" s="292"/>
    </row>
    <row r="812" spans="1:29" ht="27" customHeight="1" x14ac:dyDescent="0.25">
      <c r="A812" s="317" t="s">
        <v>465</v>
      </c>
      <c r="B812" s="318"/>
      <c r="C812" s="347">
        <f>SUM(C807:C811)</f>
        <v>4</v>
      </c>
      <c r="D812" s="347"/>
      <c r="E812" s="339"/>
      <c r="F812" s="339">
        <f>SUM(F807:F811)</f>
        <v>7179.5</v>
      </c>
      <c r="G812" s="339"/>
      <c r="H812" s="345">
        <f t="shared" ref="H812:W812" si="227">SUM(H808:H811)</f>
        <v>0</v>
      </c>
      <c r="I812" s="345">
        <f t="shared" si="227"/>
        <v>0</v>
      </c>
      <c r="J812" s="345">
        <f t="shared" si="227"/>
        <v>0</v>
      </c>
      <c r="K812" s="345">
        <f t="shared" si="227"/>
        <v>0</v>
      </c>
      <c r="L812" s="345">
        <f t="shared" si="227"/>
        <v>0</v>
      </c>
      <c r="M812" s="345">
        <f t="shared" si="227"/>
        <v>0</v>
      </c>
      <c r="N812" s="345">
        <f t="shared" si="227"/>
        <v>0</v>
      </c>
      <c r="O812" s="345">
        <f t="shared" si="227"/>
        <v>0</v>
      </c>
      <c r="P812" s="345">
        <f t="shared" si="227"/>
        <v>0</v>
      </c>
      <c r="Q812" s="345">
        <f t="shared" si="227"/>
        <v>0</v>
      </c>
      <c r="R812" s="345">
        <f t="shared" si="227"/>
        <v>0</v>
      </c>
      <c r="S812" s="345">
        <f t="shared" si="227"/>
        <v>0</v>
      </c>
      <c r="T812" s="345">
        <f t="shared" si="227"/>
        <v>0</v>
      </c>
      <c r="U812" s="345">
        <f t="shared" si="227"/>
        <v>0</v>
      </c>
      <c r="V812" s="345">
        <f t="shared" si="227"/>
        <v>0</v>
      </c>
      <c r="W812" s="345">
        <f t="shared" si="227"/>
        <v>0</v>
      </c>
      <c r="X812" s="340">
        <f>SUM(X807:X811)</f>
        <v>7179.5</v>
      </c>
      <c r="Y812" s="340">
        <f>SUM(Y807:Y811)</f>
        <v>57436</v>
      </c>
      <c r="Z812" s="292"/>
      <c r="AA812" s="292"/>
      <c r="AB812" s="292"/>
      <c r="AC812" s="292"/>
    </row>
    <row r="813" spans="1:29" ht="27" customHeight="1" x14ac:dyDescent="0.25">
      <c r="A813" s="306" t="s">
        <v>472</v>
      </c>
      <c r="B813" s="307"/>
      <c r="C813" s="307"/>
      <c r="D813" s="307"/>
      <c r="E813" s="307"/>
      <c r="F813" s="307"/>
      <c r="G813" s="307"/>
      <c r="H813" s="307"/>
      <c r="I813" s="307"/>
      <c r="J813" s="307"/>
      <c r="K813" s="307"/>
      <c r="L813" s="307"/>
      <c r="M813" s="307"/>
      <c r="N813" s="307"/>
      <c r="O813" s="307"/>
      <c r="P813" s="307"/>
      <c r="Q813" s="307"/>
      <c r="R813" s="307"/>
      <c r="S813" s="307"/>
      <c r="T813" s="307"/>
      <c r="U813" s="307"/>
      <c r="V813" s="307"/>
      <c r="W813" s="307"/>
      <c r="X813" s="307"/>
      <c r="Y813" s="308"/>
      <c r="Z813" s="292"/>
      <c r="AA813" s="292"/>
      <c r="AB813" s="292"/>
      <c r="AC813" s="292"/>
    </row>
    <row r="814" spans="1:29" ht="27" customHeight="1" x14ac:dyDescent="0.25">
      <c r="A814" s="310">
        <v>1</v>
      </c>
      <c r="B814" s="311" t="s">
        <v>189</v>
      </c>
      <c r="C814" s="341">
        <v>4</v>
      </c>
      <c r="D814" s="341">
        <v>3</v>
      </c>
      <c r="E814" s="310">
        <v>1532</v>
      </c>
      <c r="F814" s="334">
        <f>C814*E814</f>
        <v>6128</v>
      </c>
      <c r="G814" s="334"/>
      <c r="H814" s="316"/>
      <c r="I814" s="316"/>
      <c r="J814" s="316"/>
      <c r="K814" s="316"/>
      <c r="L814" s="316"/>
      <c r="M814" s="316"/>
      <c r="N814" s="316"/>
      <c r="O814" s="316"/>
      <c r="P814" s="316"/>
      <c r="Q814" s="316"/>
      <c r="R814" s="316"/>
      <c r="S814" s="316"/>
      <c r="T814" s="316"/>
      <c r="U814" s="316"/>
      <c r="V814" s="316">
        <v>700</v>
      </c>
      <c r="W814" s="316">
        <f>SUM(H814:V814)</f>
        <v>700</v>
      </c>
      <c r="X814" s="314">
        <f>F814+W814</f>
        <v>6828</v>
      </c>
      <c r="Y814" s="314">
        <f>X814*8</f>
        <v>54624</v>
      </c>
      <c r="Z814" s="292"/>
      <c r="AA814" s="292"/>
      <c r="AB814" s="292"/>
      <c r="AC814" s="292"/>
    </row>
    <row r="815" spans="1:29" ht="30" customHeight="1" x14ac:dyDescent="0.25">
      <c r="A815" s="310">
        <v>2</v>
      </c>
      <c r="B815" s="348" t="s">
        <v>471</v>
      </c>
      <c r="C815" s="349">
        <v>1</v>
      </c>
      <c r="D815" s="349">
        <v>2</v>
      </c>
      <c r="E815" s="310">
        <v>1521</v>
      </c>
      <c r="F815" s="334">
        <f>C815*E815</f>
        <v>1521</v>
      </c>
      <c r="G815" s="334"/>
      <c r="H815" s="316"/>
      <c r="I815" s="316"/>
      <c r="J815" s="316"/>
      <c r="K815" s="316"/>
      <c r="L815" s="316"/>
      <c r="M815" s="316"/>
      <c r="N815" s="316"/>
      <c r="O815" s="315"/>
      <c r="P815" s="315"/>
      <c r="Q815" s="315"/>
      <c r="R815" s="315"/>
      <c r="S815" s="315"/>
      <c r="T815" s="315"/>
      <c r="U815" s="315"/>
      <c r="V815" s="315"/>
      <c r="W815" s="316">
        <f>SUM(H815:V815)</f>
        <v>0</v>
      </c>
      <c r="X815" s="314">
        <f>F815+W815</f>
        <v>1521</v>
      </c>
      <c r="Y815" s="314">
        <f>X815*8</f>
        <v>12168</v>
      </c>
      <c r="Z815" s="292"/>
      <c r="AA815" s="292"/>
      <c r="AB815" s="292"/>
      <c r="AC815" s="292"/>
    </row>
    <row r="816" spans="1:29" ht="23.25" customHeight="1" x14ac:dyDescent="0.25">
      <c r="A816" s="317"/>
      <c r="B816" s="318"/>
      <c r="C816" s="350">
        <f>SUM(C814:C815)</f>
        <v>5</v>
      </c>
      <c r="D816" s="350"/>
      <c r="E816" s="350"/>
      <c r="F816" s="351">
        <f t="shared" ref="F816:Y816" si="228">SUM(F814:F815)</f>
        <v>7649</v>
      </c>
      <c r="G816" s="351"/>
      <c r="H816" s="347">
        <f t="shared" si="228"/>
        <v>0</v>
      </c>
      <c r="I816" s="347">
        <f t="shared" si="228"/>
        <v>0</v>
      </c>
      <c r="J816" s="347">
        <f t="shared" si="228"/>
        <v>0</v>
      </c>
      <c r="K816" s="347">
        <f t="shared" si="228"/>
        <v>0</v>
      </c>
      <c r="L816" s="347">
        <f t="shared" si="228"/>
        <v>0</v>
      </c>
      <c r="M816" s="347">
        <f t="shared" si="228"/>
        <v>0</v>
      </c>
      <c r="N816" s="347">
        <f t="shared" si="228"/>
        <v>0</v>
      </c>
      <c r="O816" s="347">
        <f t="shared" si="228"/>
        <v>0</v>
      </c>
      <c r="P816" s="347">
        <f t="shared" si="228"/>
        <v>0</v>
      </c>
      <c r="Q816" s="347">
        <f t="shared" si="228"/>
        <v>0</v>
      </c>
      <c r="R816" s="347">
        <f t="shared" si="228"/>
        <v>0</v>
      </c>
      <c r="S816" s="347">
        <f t="shared" si="228"/>
        <v>0</v>
      </c>
      <c r="T816" s="347">
        <f t="shared" si="228"/>
        <v>0</v>
      </c>
      <c r="U816" s="347">
        <f t="shared" si="228"/>
        <v>0</v>
      </c>
      <c r="V816" s="347">
        <f t="shared" si="228"/>
        <v>700</v>
      </c>
      <c r="W816" s="347">
        <f t="shared" si="228"/>
        <v>700</v>
      </c>
      <c r="X816" s="340">
        <f t="shared" si="228"/>
        <v>8349</v>
      </c>
      <c r="Y816" s="340">
        <f t="shared" si="228"/>
        <v>66792</v>
      </c>
      <c r="Z816" s="292"/>
      <c r="AA816" s="292"/>
      <c r="AB816" s="292"/>
      <c r="AC816" s="292"/>
    </row>
    <row r="817" spans="1:29" ht="42.75" customHeight="1" x14ac:dyDescent="0.25">
      <c r="A817" s="59"/>
      <c r="B817" s="236" t="s">
        <v>285</v>
      </c>
      <c r="C817" s="169">
        <f>C705+C751+C740+C718+C697+C694+C687+C469+C463+C759+C764+C767+C773+C780+C786+C792+C801+C795+C805+C812+C816+C686+C685+C669+C666+C656+C652+C647+C642+C605+C598+C595+C591+C583+C573+C535+C527+C524+C520+C513+C501+C491+C473-4</f>
        <v>943.25</v>
      </c>
      <c r="D817" s="169"/>
      <c r="E817" s="169"/>
      <c r="F817" s="169">
        <f>F705+F751+F740+F718+F697+F694+F687+F469+F463+F759+F764+F767+F773+F780+F786+F792+F801+F795+F805+F812+F816+F686+F685+F669+F666+F656+F652+F647+F642+F605+F598+F595+F591+F583+F573+F535+F527+F524+F520+F513+F501+F491+F473-6810</f>
        <v>1583692.25</v>
      </c>
      <c r="G817" s="170">
        <f t="shared" ref="G817:W817" si="229">G705+G751+G740+G718+G697+G694+G687+G469+G463+G759+G764+G767+G773+G780+G786+G792+G801+G795+G805+G812+G816+G686+G685+G669+G666+G656+G652+G647+G642+G605+G598+G595+G591+G583+G573+G535+G527+G524+G520+G513+G501+G491+G473</f>
        <v>0</v>
      </c>
      <c r="H817" s="170">
        <f t="shared" si="229"/>
        <v>23176</v>
      </c>
      <c r="I817" s="170">
        <f t="shared" si="229"/>
        <v>18243</v>
      </c>
      <c r="J817" s="170">
        <f t="shared" si="229"/>
        <v>2334</v>
      </c>
      <c r="K817" s="170">
        <f t="shared" si="229"/>
        <v>1034</v>
      </c>
      <c r="L817" s="170">
        <f t="shared" si="229"/>
        <v>0</v>
      </c>
      <c r="M817" s="170">
        <f t="shared" si="229"/>
        <v>205</v>
      </c>
      <c r="N817" s="170">
        <f t="shared" si="229"/>
        <v>28449</v>
      </c>
      <c r="O817" s="170">
        <f t="shared" si="229"/>
        <v>0</v>
      </c>
      <c r="P817" s="170">
        <f t="shared" si="229"/>
        <v>0</v>
      </c>
      <c r="Q817" s="170">
        <f t="shared" si="229"/>
        <v>540</v>
      </c>
      <c r="R817" s="170">
        <f t="shared" si="229"/>
        <v>1034</v>
      </c>
      <c r="S817" s="170">
        <f t="shared" si="229"/>
        <v>675</v>
      </c>
      <c r="T817" s="170">
        <f t="shared" si="229"/>
        <v>50661</v>
      </c>
      <c r="U817" s="170">
        <f t="shared" si="229"/>
        <v>0</v>
      </c>
      <c r="V817" s="170">
        <f t="shared" si="229"/>
        <v>85323</v>
      </c>
      <c r="W817" s="170">
        <f t="shared" si="229"/>
        <v>211674</v>
      </c>
      <c r="X817" s="169">
        <f>X705+X751+X740+X718+X697+X694+X687+X469+X463+X759+X764+X767+X773+X780+X786+X792+X801+X795+X805+X812+X816+X686+X685+X669+X666+X656+X652+X647+X642+X605+X598+X595+X591+X583+X573+X535+X527+X524+X520+X513+X501+X491+X473-6810</f>
        <v>1795366.25</v>
      </c>
      <c r="Y817" s="169">
        <f>Y705+Y751+Y740+Y718+Y697+Y694+Y687+Y469+Y463+Y759+Y764+Y767+Y773+Y780+Y786+Y792+Y801+Y795+Y805+Y812+Y816+Y686+Y685+Y669+Y666+Y656+Y652+Y647+Y642+Y605+Y598+Y595+Y591+Y583+Y573+Y535+Y527+Y524+Y520+Y513+Y501+Y491+Y473</f>
        <v>14329468</v>
      </c>
      <c r="Z817" s="169" t="e">
        <f>#REF!+Z751+Z740+Z718+Z697+Z694+Z687+Z469+Z463+Z759+Z764+Z767+Z773+Z780+Z786+Z792+Z801+#REF!+Z805+Z812+Z816</f>
        <v>#REF!</v>
      </c>
      <c r="AA817" s="169" t="e">
        <f>#REF!+AA751+AA740+AA718+AA697+AA694+AA687+AA469+AA463+AA759+AA764+AA767+AA773+AA780+AA786+AA792+AA801+#REF!+AA805+AA812+AA816</f>
        <v>#REF!</v>
      </c>
      <c r="AB817" s="169" t="e">
        <f>#REF!+AB751+AB740+AB718+AB697+AB694+AB687+AB469+AB463+AB759+AB764+AB767+AB773+AB780+AB786+AB792+AB801+#REF!+AB805+AB812+AB816</f>
        <v>#REF!</v>
      </c>
      <c r="AC817" s="169" t="e">
        <f>#REF!+AC751+AC740+AC718+AC697+AC694+AC687+AC469+AC463+AC759+AC764+AC767+AC773+AC780+AC786+AC792+AC801+#REF!+AC805+AC812+AC816</f>
        <v>#REF!</v>
      </c>
    </row>
    <row r="818" spans="1:29" s="355" customFormat="1" ht="28.5" customHeight="1" x14ac:dyDescent="0.25">
      <c r="A818" s="294"/>
      <c r="B818" s="352" t="s">
        <v>473</v>
      </c>
      <c r="C818" s="146">
        <f>C817+C428+C442+C441+C446</f>
        <v>1525.55</v>
      </c>
      <c r="D818" s="146"/>
      <c r="E818" s="146"/>
      <c r="F818" s="146">
        <f t="shared" ref="F818:Y818" si="230">F817+F428+F442+F441+F446</f>
        <v>3673880.5</v>
      </c>
      <c r="G818" s="146">
        <f t="shared" si="230"/>
        <v>5167</v>
      </c>
      <c r="H818" s="353">
        <f t="shared" si="230"/>
        <v>23176</v>
      </c>
      <c r="I818" s="353">
        <f t="shared" si="230"/>
        <v>18243</v>
      </c>
      <c r="J818" s="353">
        <f t="shared" si="230"/>
        <v>5063</v>
      </c>
      <c r="K818" s="353">
        <f t="shared" si="230"/>
        <v>1466</v>
      </c>
      <c r="L818" s="353">
        <f t="shared" si="230"/>
        <v>1653</v>
      </c>
      <c r="M818" s="353">
        <f t="shared" si="230"/>
        <v>37271</v>
      </c>
      <c r="N818" s="353">
        <f t="shared" si="230"/>
        <v>440718</v>
      </c>
      <c r="O818" s="353">
        <f t="shared" si="230"/>
        <v>30185</v>
      </c>
      <c r="P818" s="353">
        <f t="shared" si="230"/>
        <v>33831</v>
      </c>
      <c r="Q818" s="353">
        <f t="shared" si="230"/>
        <v>117978</v>
      </c>
      <c r="R818" s="353">
        <f t="shared" si="230"/>
        <v>21870</v>
      </c>
      <c r="S818" s="353">
        <f t="shared" si="230"/>
        <v>102395</v>
      </c>
      <c r="T818" s="353">
        <f t="shared" si="230"/>
        <v>50661</v>
      </c>
      <c r="U818" s="354">
        <f t="shared" si="230"/>
        <v>2434</v>
      </c>
      <c r="V818" s="353">
        <f t="shared" si="230"/>
        <v>85323</v>
      </c>
      <c r="W818" s="353">
        <f t="shared" si="230"/>
        <v>977434</v>
      </c>
      <c r="X818" s="146">
        <f t="shared" si="230"/>
        <v>4994970.75</v>
      </c>
      <c r="Y818" s="146">
        <f t="shared" si="230"/>
        <v>39926304</v>
      </c>
      <c r="Z818" s="146" t="e">
        <f>Z817+Z428+Z442+Z443+Z449</f>
        <v>#REF!</v>
      </c>
      <c r="AA818" s="146" t="e">
        <f>AA817+AA428+AA442+AA443+AA449</f>
        <v>#REF!</v>
      </c>
      <c r="AB818" s="146" t="e">
        <f>AB817+AB428+AB442+AB443+AB449</f>
        <v>#REF!</v>
      </c>
      <c r="AC818" s="146" t="e">
        <f>AC817+AC428+AC442+AC443+AC449</f>
        <v>#REF!</v>
      </c>
    </row>
    <row r="819" spans="1:29" s="355" customFormat="1" ht="24" customHeight="1" x14ac:dyDescent="0.25">
      <c r="A819" s="294"/>
      <c r="B819" s="352" t="s">
        <v>41</v>
      </c>
      <c r="C819" s="146"/>
      <c r="D819" s="146"/>
      <c r="E819" s="146"/>
      <c r="F819" s="146"/>
      <c r="G819" s="146"/>
      <c r="H819" s="353"/>
      <c r="I819" s="353"/>
      <c r="J819" s="353"/>
      <c r="K819" s="353"/>
      <c r="L819" s="353"/>
      <c r="M819" s="353"/>
      <c r="N819" s="353"/>
      <c r="O819" s="353"/>
      <c r="P819" s="353"/>
      <c r="Q819" s="353"/>
      <c r="R819" s="353"/>
      <c r="S819" s="353"/>
      <c r="T819" s="353"/>
      <c r="U819" s="353"/>
      <c r="V819" s="353"/>
      <c r="W819" s="353"/>
      <c r="X819" s="146"/>
      <c r="Y819" s="146">
        <f>18660000+449594+479290</f>
        <v>19588884</v>
      </c>
      <c r="Z819" s="356"/>
      <c r="AA819" s="356"/>
      <c r="AB819" s="356"/>
      <c r="AC819" s="356"/>
    </row>
    <row r="820" spans="1:29" s="355" customFormat="1" ht="24" customHeight="1" x14ac:dyDescent="0.25">
      <c r="A820" s="294"/>
      <c r="B820" s="352" t="s">
        <v>42</v>
      </c>
      <c r="C820" s="146"/>
      <c r="D820" s="146"/>
      <c r="E820" s="146"/>
      <c r="F820" s="146"/>
      <c r="G820" s="146"/>
      <c r="H820" s="353"/>
      <c r="I820" s="353"/>
      <c r="J820" s="353"/>
      <c r="K820" s="353"/>
      <c r="L820" s="353"/>
      <c r="M820" s="353"/>
      <c r="N820" s="353"/>
      <c r="O820" s="353"/>
      <c r="P820" s="353"/>
      <c r="Q820" s="353"/>
      <c r="R820" s="353"/>
      <c r="S820" s="353"/>
      <c r="T820" s="353"/>
      <c r="U820" s="353"/>
      <c r="V820" s="353"/>
      <c r="W820" s="353"/>
      <c r="X820" s="146"/>
      <c r="Y820" s="146">
        <v>72626</v>
      </c>
      <c r="Z820" s="356"/>
      <c r="AA820" s="356"/>
      <c r="AB820" s="356"/>
      <c r="AC820" s="356"/>
    </row>
    <row r="821" spans="1:29" s="355" customFormat="1" ht="37.799999999999997" customHeight="1" x14ac:dyDescent="0.25">
      <c r="A821" s="294"/>
      <c r="B821" s="239" t="s">
        <v>43</v>
      </c>
      <c r="C821" s="146"/>
      <c r="D821" s="146"/>
      <c r="E821" s="146"/>
      <c r="F821" s="146"/>
      <c r="G821" s="146"/>
      <c r="H821" s="353"/>
      <c r="I821" s="353"/>
      <c r="J821" s="353"/>
      <c r="K821" s="353"/>
      <c r="L821" s="353"/>
      <c r="M821" s="353"/>
      <c r="N821" s="353"/>
      <c r="O821" s="353"/>
      <c r="P821" s="353"/>
      <c r="Q821" s="353"/>
      <c r="R821" s="353"/>
      <c r="S821" s="353"/>
      <c r="T821" s="353"/>
      <c r="U821" s="353"/>
      <c r="V821" s="353"/>
      <c r="W821" s="353"/>
      <c r="X821" s="146"/>
      <c r="Y821" s="146">
        <v>978110</v>
      </c>
      <c r="Z821" s="356"/>
      <c r="AA821" s="356"/>
      <c r="AB821" s="356"/>
      <c r="AC821" s="356"/>
    </row>
    <row r="822" spans="1:29" s="355" customFormat="1" ht="34.799999999999997" customHeight="1" x14ac:dyDescent="0.25">
      <c r="A822" s="294"/>
      <c r="B822" s="240" t="s">
        <v>44</v>
      </c>
      <c r="C822" s="146"/>
      <c r="D822" s="146"/>
      <c r="E822" s="146"/>
      <c r="F822" s="146"/>
      <c r="G822" s="146"/>
      <c r="H822" s="353"/>
      <c r="I822" s="353"/>
      <c r="J822" s="353"/>
      <c r="K822" s="353"/>
      <c r="L822" s="353"/>
      <c r="M822" s="353"/>
      <c r="N822" s="353"/>
      <c r="O822" s="353"/>
      <c r="P822" s="353"/>
      <c r="Q822" s="353"/>
      <c r="R822" s="353"/>
      <c r="S822" s="353"/>
      <c r="T822" s="353"/>
      <c r="U822" s="353"/>
      <c r="V822" s="353"/>
      <c r="W822" s="353"/>
      <c r="X822" s="146"/>
      <c r="Y822" s="146">
        <f>400000+6946+12130</f>
        <v>419076</v>
      </c>
      <c r="Z822" s="356"/>
      <c r="AA822" s="356"/>
      <c r="AB822" s="356"/>
      <c r="AC822" s="356"/>
    </row>
    <row r="823" spans="1:29" s="355" customFormat="1" ht="30" customHeight="1" thickBot="1" x14ac:dyDescent="0.3">
      <c r="A823" s="294"/>
      <c r="B823" s="352" t="s">
        <v>473</v>
      </c>
      <c r="C823" s="201">
        <f>C818</f>
        <v>1525.55</v>
      </c>
      <c r="D823" s="166"/>
      <c r="E823" s="294"/>
      <c r="F823" s="201">
        <f t="shared" ref="F823:X823" si="231">F818</f>
        <v>3673880.5</v>
      </c>
      <c r="G823" s="201">
        <f t="shared" si="231"/>
        <v>5167</v>
      </c>
      <c r="H823" s="227">
        <f t="shared" si="231"/>
        <v>23176</v>
      </c>
      <c r="I823" s="227">
        <f t="shared" si="231"/>
        <v>18243</v>
      </c>
      <c r="J823" s="227">
        <f t="shared" si="231"/>
        <v>5063</v>
      </c>
      <c r="K823" s="227">
        <f t="shared" si="231"/>
        <v>1466</v>
      </c>
      <c r="L823" s="227">
        <f t="shared" si="231"/>
        <v>1653</v>
      </c>
      <c r="M823" s="227">
        <f t="shared" si="231"/>
        <v>37271</v>
      </c>
      <c r="N823" s="227">
        <f t="shared" si="231"/>
        <v>440718</v>
      </c>
      <c r="O823" s="227">
        <f t="shared" si="231"/>
        <v>30185</v>
      </c>
      <c r="P823" s="227">
        <f t="shared" si="231"/>
        <v>33831</v>
      </c>
      <c r="Q823" s="227">
        <f t="shared" si="231"/>
        <v>117978</v>
      </c>
      <c r="R823" s="227">
        <f t="shared" si="231"/>
        <v>21870</v>
      </c>
      <c r="S823" s="227">
        <f t="shared" si="231"/>
        <v>102395</v>
      </c>
      <c r="T823" s="227">
        <f t="shared" si="231"/>
        <v>50661</v>
      </c>
      <c r="U823" s="357">
        <f t="shared" si="231"/>
        <v>2434</v>
      </c>
      <c r="V823" s="227">
        <f t="shared" si="231"/>
        <v>85323</v>
      </c>
      <c r="W823" s="227">
        <f t="shared" si="231"/>
        <v>977434</v>
      </c>
      <c r="X823" s="201">
        <f t="shared" si="231"/>
        <v>4994970.75</v>
      </c>
      <c r="Y823" s="201">
        <f>SUM(Y818:Y822)</f>
        <v>60985000</v>
      </c>
      <c r="Z823" s="201" t="e">
        <f>Z818+#REF!</f>
        <v>#REF!</v>
      </c>
      <c r="AA823" s="201" t="e">
        <f>AA818+#REF!</f>
        <v>#REF!</v>
      </c>
      <c r="AB823" s="201" t="e">
        <f>AB818+#REF!</f>
        <v>#REF!</v>
      </c>
      <c r="AC823" s="201" t="e">
        <f>AC818+#REF!</f>
        <v>#REF!</v>
      </c>
    </row>
    <row r="824" spans="1:29" s="355" customFormat="1" ht="25.5" customHeight="1" thickBot="1" x14ac:dyDescent="0.3">
      <c r="A824" s="358"/>
      <c r="B824" s="359" t="s">
        <v>474</v>
      </c>
      <c r="C824" s="360">
        <f>C823+C420</f>
        <v>4603.6499999999996</v>
      </c>
      <c r="D824" s="360"/>
      <c r="E824" s="360"/>
      <c r="F824" s="361">
        <f t="shared" ref="F824:Y824" si="232">F823+F420</f>
        <v>11713294.5</v>
      </c>
      <c r="G824" s="361">
        <f t="shared" si="232"/>
        <v>7751</v>
      </c>
      <c r="H824" s="362">
        <f t="shared" si="232"/>
        <v>90084</v>
      </c>
      <c r="I824" s="362">
        <f t="shared" si="232"/>
        <v>116166</v>
      </c>
      <c r="J824" s="362">
        <f t="shared" si="232"/>
        <v>5063</v>
      </c>
      <c r="K824" s="362">
        <f t="shared" si="232"/>
        <v>25187</v>
      </c>
      <c r="L824" s="362">
        <f t="shared" si="232"/>
        <v>24242</v>
      </c>
      <c r="M824" s="362">
        <f t="shared" si="232"/>
        <v>37271</v>
      </c>
      <c r="N824" s="362">
        <f t="shared" si="232"/>
        <v>1859968</v>
      </c>
      <c r="O824" s="362">
        <f t="shared" si="232"/>
        <v>73751</v>
      </c>
      <c r="P824" s="361">
        <f t="shared" si="232"/>
        <v>304364</v>
      </c>
      <c r="Q824" s="362">
        <f t="shared" si="232"/>
        <v>650151</v>
      </c>
      <c r="R824" s="361">
        <f t="shared" si="232"/>
        <v>190503</v>
      </c>
      <c r="S824" s="361">
        <f t="shared" si="232"/>
        <v>487342</v>
      </c>
      <c r="T824" s="362">
        <f t="shared" si="232"/>
        <v>68839</v>
      </c>
      <c r="U824" s="363">
        <f t="shared" si="232"/>
        <v>12162</v>
      </c>
      <c r="V824" s="362">
        <f t="shared" si="232"/>
        <v>136576</v>
      </c>
      <c r="W824" s="361">
        <f t="shared" si="232"/>
        <v>4089420</v>
      </c>
      <c r="X824" s="361">
        <f t="shared" si="232"/>
        <v>16146370.75</v>
      </c>
      <c r="Y824" s="361">
        <f t="shared" si="232"/>
        <v>198459670</v>
      </c>
    </row>
    <row r="825" spans="1:29" s="355" customFormat="1" ht="4.5" customHeight="1" x14ac:dyDescent="0.25">
      <c r="D825" s="364"/>
    </row>
    <row r="826" spans="1:29" s="355" customFormat="1" ht="60.75" customHeight="1" x14ac:dyDescent="0.3">
      <c r="D826" s="364"/>
      <c r="F826" s="365" t="s">
        <v>475</v>
      </c>
      <c r="G826" s="365"/>
      <c r="H826" s="365"/>
      <c r="I826" s="365"/>
      <c r="J826" s="365"/>
      <c r="K826" s="365"/>
      <c r="L826" s="365"/>
      <c r="M826" s="365"/>
      <c r="N826" s="365"/>
      <c r="O826" s="365"/>
      <c r="P826" s="365"/>
      <c r="Q826" s="365"/>
      <c r="R826" s="365" t="s">
        <v>52</v>
      </c>
      <c r="S826" s="365"/>
      <c r="T826" s="366"/>
    </row>
    <row r="827" spans="1:29" s="355" customFormat="1" ht="45.75" customHeight="1" x14ac:dyDescent="0.3">
      <c r="D827" s="364"/>
      <c r="F827" s="365" t="s">
        <v>53</v>
      </c>
      <c r="G827" s="365"/>
      <c r="H827" s="365"/>
      <c r="I827" s="365"/>
      <c r="J827" s="365"/>
      <c r="K827" s="365"/>
      <c r="L827" s="365"/>
      <c r="M827" s="365"/>
      <c r="N827" s="365"/>
      <c r="O827" s="365"/>
      <c r="P827" s="365"/>
      <c r="Q827" s="365"/>
      <c r="R827" s="365" t="s">
        <v>54</v>
      </c>
      <c r="S827" s="365"/>
      <c r="T827" s="366"/>
    </row>
    <row r="828" spans="1:29" s="355" customFormat="1" ht="51" customHeight="1" x14ac:dyDescent="0.3">
      <c r="D828" s="364"/>
      <c r="F828" s="365" t="s">
        <v>476</v>
      </c>
      <c r="G828" s="365"/>
      <c r="H828" s="365"/>
      <c r="I828" s="365"/>
      <c r="J828" s="365"/>
      <c r="K828" s="365"/>
      <c r="L828" s="365"/>
      <c r="M828" s="365"/>
      <c r="N828" s="365"/>
      <c r="O828" s="365"/>
      <c r="P828" s="365"/>
      <c r="Q828" s="365"/>
      <c r="R828" s="365" t="s">
        <v>477</v>
      </c>
      <c r="S828" s="365"/>
      <c r="T828" s="366"/>
    </row>
    <row r="829" spans="1:29" s="355" customFormat="1" ht="17.399999999999999" x14ac:dyDescent="0.3">
      <c r="D829" s="364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367"/>
    </row>
  </sheetData>
  <mergeCells count="131">
    <mergeCell ref="A805:B805"/>
    <mergeCell ref="A806:Y806"/>
    <mergeCell ref="A812:B812"/>
    <mergeCell ref="A813:Y813"/>
    <mergeCell ref="A816:B816"/>
    <mergeCell ref="A788:Y788"/>
    <mergeCell ref="A793:Y793"/>
    <mergeCell ref="A795:B795"/>
    <mergeCell ref="A796:Y796"/>
    <mergeCell ref="A801:B801"/>
    <mergeCell ref="A802:Y802"/>
    <mergeCell ref="A760:Y760"/>
    <mergeCell ref="B765:Y765"/>
    <mergeCell ref="A768:Y768"/>
    <mergeCell ref="A774:Y774"/>
    <mergeCell ref="B781:Y781"/>
    <mergeCell ref="A787:Y787"/>
    <mergeCell ref="A706:Y706"/>
    <mergeCell ref="A719:Y719"/>
    <mergeCell ref="A741:Y741"/>
    <mergeCell ref="A752:Y752"/>
    <mergeCell ref="A753:Y753"/>
    <mergeCell ref="A754:Y754"/>
    <mergeCell ref="A657:Y657"/>
    <mergeCell ref="A667:X667"/>
    <mergeCell ref="A670:Y670"/>
    <mergeCell ref="A688:Y688"/>
    <mergeCell ref="A695:Y695"/>
    <mergeCell ref="A698:Y698"/>
    <mergeCell ref="A596:Y596"/>
    <mergeCell ref="A599:Y599"/>
    <mergeCell ref="A606:Y606"/>
    <mergeCell ref="A643:Y643"/>
    <mergeCell ref="A648:Y648"/>
    <mergeCell ref="A653:Y653"/>
    <mergeCell ref="A525:Y525"/>
    <mergeCell ref="A528:Y528"/>
    <mergeCell ref="A536:Y536"/>
    <mergeCell ref="A574:Y574"/>
    <mergeCell ref="A584:Y584"/>
    <mergeCell ref="A592:Y592"/>
    <mergeCell ref="A470:Y470"/>
    <mergeCell ref="A474:Y474"/>
    <mergeCell ref="A492:Y492"/>
    <mergeCell ref="A502:Y502"/>
    <mergeCell ref="A514:Y514"/>
    <mergeCell ref="A521:Y521"/>
    <mergeCell ref="A423:Y423"/>
    <mergeCell ref="A430:Y430"/>
    <mergeCell ref="A443:Y443"/>
    <mergeCell ref="A447:Y447"/>
    <mergeCell ref="A448:Y448"/>
    <mergeCell ref="A464:Y464"/>
    <mergeCell ref="A357:Y357"/>
    <mergeCell ref="A362:Y362"/>
    <mergeCell ref="A370:Y370"/>
    <mergeCell ref="A384:X384"/>
    <mergeCell ref="A389:Y389"/>
    <mergeCell ref="A422:Y422"/>
    <mergeCell ref="A285:X285"/>
    <mergeCell ref="A297:Y297"/>
    <mergeCell ref="A304:X304"/>
    <mergeCell ref="A320:X320"/>
    <mergeCell ref="A349:Y349"/>
    <mergeCell ref="A352:Y352"/>
    <mergeCell ref="A218:X218"/>
    <mergeCell ref="A228:X228"/>
    <mergeCell ref="A233:Y233"/>
    <mergeCell ref="A237:Y237"/>
    <mergeCell ref="A244:Y244"/>
    <mergeCell ref="A251:Y251"/>
    <mergeCell ref="A165:X165"/>
    <mergeCell ref="A170:Y170"/>
    <mergeCell ref="A176:Y176"/>
    <mergeCell ref="A180:X180"/>
    <mergeCell ref="A190:Y190"/>
    <mergeCell ref="A197:X197"/>
    <mergeCell ref="A115:Y115"/>
    <mergeCell ref="A127:X127"/>
    <mergeCell ref="A134:X134"/>
    <mergeCell ref="A143:X143"/>
    <mergeCell ref="A148:X148"/>
    <mergeCell ref="A154:X154"/>
    <mergeCell ref="A75:Y75"/>
    <mergeCell ref="A80:X80"/>
    <mergeCell ref="A87:X87"/>
    <mergeCell ref="A93:Y93"/>
    <mergeCell ref="A99:Y99"/>
    <mergeCell ref="A104:X104"/>
    <mergeCell ref="A27:Y27"/>
    <mergeCell ref="A38:X38"/>
    <mergeCell ref="A39:X39"/>
    <mergeCell ref="A53:X53"/>
    <mergeCell ref="A64:Y64"/>
    <mergeCell ref="A68:Y68"/>
    <mergeCell ref="R15:S15"/>
    <mergeCell ref="T15:T17"/>
    <mergeCell ref="U15:U17"/>
    <mergeCell ref="V15:V17"/>
    <mergeCell ref="A19:Y19"/>
    <mergeCell ref="A20:Y20"/>
    <mergeCell ref="K15:K17"/>
    <mergeCell ref="L15:L17"/>
    <mergeCell ref="M15:M17"/>
    <mergeCell ref="N15:N17"/>
    <mergeCell ref="O15:O17"/>
    <mergeCell ref="P15:Q15"/>
    <mergeCell ref="C14:C17"/>
    <mergeCell ref="D14:D17"/>
    <mergeCell ref="E14:E17"/>
    <mergeCell ref="F14:F17"/>
    <mergeCell ref="H14:N14"/>
    <mergeCell ref="O14:V14"/>
    <mergeCell ref="G15:G17"/>
    <mergeCell ref="H15:H17"/>
    <mergeCell ref="I15:I17"/>
    <mergeCell ref="J15:J17"/>
    <mergeCell ref="V6:Y6"/>
    <mergeCell ref="V7:Y7"/>
    <mergeCell ref="V8:X8"/>
    <mergeCell ref="W9:Y9"/>
    <mergeCell ref="W10:Y10"/>
    <mergeCell ref="B12:D13"/>
    <mergeCell ref="X13:Y13"/>
    <mergeCell ref="A1:T1"/>
    <mergeCell ref="W1:Y1"/>
    <mergeCell ref="A2:D2"/>
    <mergeCell ref="A3:T3"/>
    <mergeCell ref="A4:F4"/>
    <mergeCell ref="A5:F5"/>
    <mergeCell ref="V5:W5"/>
  </mergeCells>
  <printOptions horizontalCentered="1"/>
  <pageMargins left="0" right="0" top="0.19685039370078741" bottom="0.39370078740157483" header="0" footer="0"/>
  <pageSetup paperSize="9" scale="68" orientation="landscape" r:id="rId1"/>
  <headerFooter alignWithMargins="0">
    <oddFooter>Страница &amp;P</oddFooter>
  </headerFooter>
  <rowBreaks count="26" manualBreakCount="26">
    <brk id="26" max="24" man="1"/>
    <brk id="37" max="24" man="1"/>
    <brk id="63" max="24" man="1"/>
    <brk id="103" max="24" man="1"/>
    <brk id="142" max="24" man="1"/>
    <brk id="179" max="24" man="1"/>
    <brk id="217" max="24" man="1"/>
    <brk id="243" max="24" man="1"/>
    <brk id="284" max="24" man="1"/>
    <brk id="319" max="24" man="1"/>
    <brk id="236" max="24" man="1"/>
    <brk id="348" max="24" man="1"/>
    <brk id="383" max="24" man="1"/>
    <brk id="420" max="24" man="1"/>
    <brk id="446" max="24" man="1"/>
    <brk id="469" max="24" man="1"/>
    <brk id="501" max="24" man="1"/>
    <brk id="535" max="24" man="1"/>
    <brk id="573" max="24" man="1"/>
    <brk id="605" max="24" man="1"/>
    <brk id="656" max="24" man="1"/>
    <brk id="687" max="24" man="1"/>
    <brk id="718" max="24" man="1"/>
    <brk id="751" max="24" man="1"/>
    <brk id="780" max="24" man="1"/>
    <brk id="80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U50"/>
  <sheetViews>
    <sheetView tabSelected="1" view="pageBreakPreview" topLeftCell="A13" zoomScaleNormal="100" zoomScaleSheetLayoutView="100" workbookViewId="0">
      <selection activeCell="D31" sqref="D31"/>
    </sheetView>
  </sheetViews>
  <sheetFormatPr defaultColWidth="9.109375" defaultRowHeight="13.2" x14ac:dyDescent="0.25"/>
  <cols>
    <col min="1" max="1" width="2.88671875" style="4" customWidth="1"/>
    <col min="2" max="2" width="21" style="4" customWidth="1"/>
    <col min="3" max="3" width="7.33203125" style="4" customWidth="1"/>
    <col min="4" max="4" width="10.44140625" style="4" customWidth="1"/>
    <col min="5" max="5" width="6.5546875" style="4" customWidth="1"/>
    <col min="6" max="6" width="5.6640625" style="4" customWidth="1"/>
    <col min="7" max="8" width="6.33203125" style="4" customWidth="1"/>
    <col min="9" max="9" width="6.6640625" style="4" customWidth="1"/>
    <col min="10" max="10" width="4.44140625" style="4" customWidth="1"/>
    <col min="11" max="11" width="5" style="4" customWidth="1"/>
    <col min="12" max="12" width="5.109375" style="4" customWidth="1"/>
    <col min="13" max="14" width="6.109375" style="4" customWidth="1"/>
    <col min="15" max="15" width="5.33203125" style="4" customWidth="1"/>
    <col min="16" max="16" width="5" style="4" customWidth="1"/>
    <col min="17" max="17" width="6.33203125" style="4" customWidth="1"/>
    <col min="18" max="18" width="7.88671875" style="4" customWidth="1"/>
    <col min="19" max="19" width="11.5546875" style="4" customWidth="1"/>
    <col min="20" max="20" width="12.44140625" style="4" customWidth="1"/>
    <col min="21" max="16384" width="9.109375" style="4"/>
  </cols>
  <sheetData>
    <row r="1" spans="1:21" ht="15.6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1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 ht="9" customHeight="1" x14ac:dyDescent="0.25">
      <c r="B3" s="5" t="s">
        <v>2</v>
      </c>
    </row>
    <row r="4" spans="1:21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2"/>
      <c r="M4" s="13" t="s">
        <v>8</v>
      </c>
      <c r="N4" s="14"/>
      <c r="O4" s="14"/>
      <c r="P4" s="14"/>
      <c r="Q4" s="15"/>
      <c r="R4" s="16" t="s">
        <v>9</v>
      </c>
      <c r="S4" s="17" t="s">
        <v>10</v>
      </c>
      <c r="T4" s="18" t="s">
        <v>10</v>
      </c>
      <c r="U4" s="19"/>
    </row>
    <row r="5" spans="1:21" ht="12.75" customHeight="1" x14ac:dyDescent="0.25">
      <c r="A5" s="20"/>
      <c r="B5" s="21" t="s">
        <v>11</v>
      </c>
      <c r="C5" s="22"/>
      <c r="D5" s="23"/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24" t="s">
        <v>25</v>
      </c>
      <c r="S5" s="25" t="s">
        <v>26</v>
      </c>
      <c r="T5" s="26" t="s">
        <v>26</v>
      </c>
      <c r="U5" s="19"/>
    </row>
    <row r="6" spans="1:21" x14ac:dyDescent="0.25">
      <c r="A6" s="20"/>
      <c r="B6" s="27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 t="s">
        <v>27</v>
      </c>
      <c r="S6" s="25" t="s">
        <v>28</v>
      </c>
      <c r="T6" s="26" t="s">
        <v>28</v>
      </c>
      <c r="U6" s="19"/>
    </row>
    <row r="7" spans="1:21" ht="34.200000000000003" customHeight="1" x14ac:dyDescent="0.25">
      <c r="A7" s="28"/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 t="s">
        <v>29</v>
      </c>
      <c r="T7" s="34" t="s">
        <v>30</v>
      </c>
      <c r="U7" s="19"/>
    </row>
    <row r="8" spans="1:21" ht="12.75" customHeight="1" x14ac:dyDescent="0.25">
      <c r="A8" s="35">
        <v>1</v>
      </c>
      <c r="B8" s="35">
        <v>2</v>
      </c>
      <c r="C8" s="35">
        <v>3</v>
      </c>
      <c r="D8" s="35">
        <v>5</v>
      </c>
      <c r="E8" s="35"/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</row>
    <row r="9" spans="1:21" ht="12" customHeight="1" x14ac:dyDescent="0.25">
      <c r="A9" s="36" t="s">
        <v>31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</row>
    <row r="10" spans="1:21" ht="14.25" customHeight="1" x14ac:dyDescent="0.25">
      <c r="A10" s="39">
        <v>1</v>
      </c>
      <c r="B10" s="40" t="s">
        <v>32</v>
      </c>
      <c r="C10" s="40">
        <f>[1]штати!C22+[1]штати!C23</f>
        <v>6</v>
      </c>
      <c r="D10" s="41">
        <f>[1]штати!F22+[1]штати!F23</f>
        <v>29712</v>
      </c>
      <c r="E10" s="42">
        <f>[1]штати!G22</f>
        <v>2584</v>
      </c>
      <c r="F10" s="40">
        <f>[1]штати!K22+[1]штати!K23</f>
        <v>1964</v>
      </c>
      <c r="G10" s="40"/>
      <c r="H10" s="40"/>
      <c r="I10" s="40">
        <f>[1]штати!N22+[1]штати!N23</f>
        <v>8424</v>
      </c>
      <c r="J10" s="40"/>
      <c r="K10" s="40"/>
      <c r="L10" s="40"/>
      <c r="M10" s="40">
        <f>[1]штати!P22+[1]штати!P23+[1]штати!Q22+[1]штати!Q23</f>
        <v>8628</v>
      </c>
      <c r="N10" s="40">
        <f>[1]штати!R22+[1]штати!R23+[1]штати!S22+[1]штати!S23</f>
        <v>5466</v>
      </c>
      <c r="O10" s="40"/>
      <c r="P10" s="40"/>
      <c r="Q10" s="40"/>
      <c r="R10" s="42">
        <f>SUM(E10:Q10)</f>
        <v>27066</v>
      </c>
      <c r="S10" s="41">
        <f t="shared" ref="S10:S17" si="0">R10+D10</f>
        <v>56778</v>
      </c>
      <c r="T10" s="41">
        <f>S10*8</f>
        <v>454224</v>
      </c>
    </row>
    <row r="11" spans="1:21" ht="14.25" customHeight="1" x14ac:dyDescent="0.25">
      <c r="A11" s="39">
        <v>2</v>
      </c>
      <c r="B11" s="40" t="s">
        <v>33</v>
      </c>
      <c r="C11" s="40">
        <f>[1]штати!C24</f>
        <v>17</v>
      </c>
      <c r="D11" s="41">
        <f>[1]штати!F24</f>
        <v>81787</v>
      </c>
      <c r="E11" s="41"/>
      <c r="F11" s="40"/>
      <c r="G11" s="40"/>
      <c r="H11" s="40"/>
      <c r="I11" s="40">
        <f>[1]штати!N24</f>
        <v>24537</v>
      </c>
      <c r="J11" s="40"/>
      <c r="K11" s="40"/>
      <c r="L11" s="40"/>
      <c r="M11" s="40">
        <f>[1]штати!P24+[1]штати!Q24</f>
        <v>22757</v>
      </c>
      <c r="N11" s="40">
        <f>[1]штати!R24+[1]штати!S24</f>
        <v>13231</v>
      </c>
      <c r="O11" s="40"/>
      <c r="P11" s="40"/>
      <c r="Q11" s="40"/>
      <c r="R11" s="42">
        <f t="shared" ref="R11:R17" si="1">SUM(E11:Q11)</f>
        <v>60525</v>
      </c>
      <c r="S11" s="41">
        <f t="shared" si="0"/>
        <v>142312</v>
      </c>
      <c r="T11" s="41">
        <f t="shared" ref="T11:T17" si="2">S11*8</f>
        <v>1138496</v>
      </c>
    </row>
    <row r="12" spans="1:21" ht="12.75" customHeight="1" x14ac:dyDescent="0.25">
      <c r="A12" s="39">
        <v>3</v>
      </c>
      <c r="B12" s="40" t="s">
        <v>34</v>
      </c>
      <c r="C12" s="41">
        <f>[1]штати!C37</f>
        <v>1065.3</v>
      </c>
      <c r="D12" s="41">
        <f>[1]штати!F37</f>
        <v>4219140</v>
      </c>
      <c r="E12" s="41"/>
      <c r="F12" s="40">
        <f>[1]штати!K37</f>
        <v>21757</v>
      </c>
      <c r="G12" s="40"/>
      <c r="H12" s="40"/>
      <c r="I12" s="40">
        <f>[1]штати!N37</f>
        <v>1199257</v>
      </c>
      <c r="J12" s="40"/>
      <c r="K12" s="40">
        <f>[1]штати!L37</f>
        <v>22589</v>
      </c>
      <c r="L12" s="40"/>
      <c r="M12" s="42">
        <f>[1]штати!P37+[1]штати!Q37</f>
        <v>769419</v>
      </c>
      <c r="N12" s="42">
        <f>[1]штати!R37+[1]штати!S37</f>
        <v>532312</v>
      </c>
      <c r="O12" s="40"/>
      <c r="P12" s="40">
        <f>[1]штати!U37</f>
        <v>9728</v>
      </c>
      <c r="Q12" s="40">
        <f>[1]штати!O37</f>
        <v>43566</v>
      </c>
      <c r="R12" s="42">
        <f t="shared" si="1"/>
        <v>2598628</v>
      </c>
      <c r="S12" s="41">
        <f t="shared" si="0"/>
        <v>6817768</v>
      </c>
      <c r="T12" s="41">
        <f t="shared" si="2"/>
        <v>54542144</v>
      </c>
    </row>
    <row r="13" spans="1:21" ht="12" customHeight="1" x14ac:dyDescent="0.25">
      <c r="A13" s="39">
        <v>4</v>
      </c>
      <c r="B13" s="40" t="s">
        <v>35</v>
      </c>
      <c r="C13" s="40">
        <v>0</v>
      </c>
      <c r="D13" s="41"/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2">
        <f t="shared" si="1"/>
        <v>0</v>
      </c>
      <c r="S13" s="41">
        <f t="shared" si="0"/>
        <v>0</v>
      </c>
      <c r="T13" s="41">
        <f t="shared" si="2"/>
        <v>0</v>
      </c>
    </row>
    <row r="14" spans="1:21" ht="13.5" customHeight="1" x14ac:dyDescent="0.25">
      <c r="A14" s="39">
        <v>5</v>
      </c>
      <c r="B14" s="43" t="s">
        <v>36</v>
      </c>
      <c r="C14" s="40">
        <v>216</v>
      </c>
      <c r="D14" s="41">
        <v>489566</v>
      </c>
      <c r="E14" s="41"/>
      <c r="F14" s="41"/>
      <c r="G14" s="42">
        <v>97923</v>
      </c>
      <c r="H14" s="41"/>
      <c r="I14" s="42">
        <v>146884</v>
      </c>
      <c r="J14" s="40"/>
      <c r="K14" s="40"/>
      <c r="L14" s="40"/>
      <c r="M14" s="40">
        <v>1137</v>
      </c>
      <c r="N14" s="40">
        <v>2112</v>
      </c>
      <c r="O14" s="40"/>
      <c r="P14" s="40"/>
      <c r="Q14" s="40"/>
      <c r="R14" s="42">
        <f t="shared" si="1"/>
        <v>248056</v>
      </c>
      <c r="S14" s="41">
        <f t="shared" si="0"/>
        <v>737622</v>
      </c>
      <c r="T14" s="41">
        <f t="shared" si="2"/>
        <v>5900976</v>
      </c>
    </row>
    <row r="15" spans="1:21" ht="11.25" customHeight="1" x14ac:dyDescent="0.25">
      <c r="A15" s="39">
        <v>6</v>
      </c>
      <c r="B15" s="43" t="s">
        <v>37</v>
      </c>
      <c r="C15" s="41">
        <v>1060.8</v>
      </c>
      <c r="D15" s="41">
        <v>2075681.5</v>
      </c>
      <c r="E15" s="41"/>
      <c r="F15" s="40"/>
      <c r="G15" s="40"/>
      <c r="H15" s="44"/>
      <c r="I15" s="44"/>
      <c r="J15" s="44"/>
      <c r="K15" s="44"/>
      <c r="L15" s="44"/>
      <c r="M15" s="44"/>
      <c r="N15" s="44"/>
      <c r="O15" s="40">
        <v>457</v>
      </c>
      <c r="P15" s="40"/>
      <c r="Q15" s="40"/>
      <c r="R15" s="42">
        <f t="shared" si="1"/>
        <v>457</v>
      </c>
      <c r="S15" s="41">
        <f t="shared" si="0"/>
        <v>2076138.5</v>
      </c>
      <c r="T15" s="41">
        <f t="shared" si="2"/>
        <v>16609108</v>
      </c>
    </row>
    <row r="16" spans="1:21" ht="11.25" customHeight="1" x14ac:dyDescent="0.25">
      <c r="A16" s="39">
        <v>7</v>
      </c>
      <c r="B16" s="45" t="s">
        <v>38</v>
      </c>
      <c r="C16" s="41">
        <v>55</v>
      </c>
      <c r="D16" s="41">
        <v>133811</v>
      </c>
      <c r="E16" s="41"/>
      <c r="F16" s="40"/>
      <c r="G16" s="40"/>
      <c r="H16" s="40">
        <v>66908</v>
      </c>
      <c r="I16" s="42">
        <f>[1]штати!N319</f>
        <v>40148</v>
      </c>
      <c r="J16" s="40"/>
      <c r="K16" s="40"/>
      <c r="L16" s="40"/>
      <c r="M16" s="42">
        <f>[1]штати!Q319</f>
        <v>765</v>
      </c>
      <c r="N16" s="42">
        <f>[1]штати!S319</f>
        <v>459</v>
      </c>
      <c r="O16" s="40"/>
      <c r="P16" s="40"/>
      <c r="Q16" s="40"/>
      <c r="R16" s="42">
        <f t="shared" si="1"/>
        <v>108280</v>
      </c>
      <c r="S16" s="41">
        <f t="shared" si="0"/>
        <v>242091</v>
      </c>
      <c r="T16" s="41">
        <f t="shared" si="2"/>
        <v>1936728</v>
      </c>
    </row>
    <row r="17" spans="1:20" ht="12.75" customHeight="1" x14ac:dyDescent="0.25">
      <c r="A17" s="39">
        <v>8</v>
      </c>
      <c r="B17" s="46" t="s">
        <v>39</v>
      </c>
      <c r="C17" s="40">
        <v>658</v>
      </c>
      <c r="D17" s="40">
        <v>1009716.5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>
        <v>17721</v>
      </c>
      <c r="P17" s="40"/>
      <c r="Q17" s="42">
        <f>[1]штати!V102</f>
        <v>51253</v>
      </c>
      <c r="R17" s="42">
        <f t="shared" si="1"/>
        <v>68974</v>
      </c>
      <c r="S17" s="41">
        <f t="shared" si="0"/>
        <v>1078690.5</v>
      </c>
      <c r="T17" s="41">
        <f t="shared" si="2"/>
        <v>8629524</v>
      </c>
    </row>
    <row r="18" spans="1:20" ht="21" customHeight="1" x14ac:dyDescent="0.25">
      <c r="A18" s="40"/>
      <c r="B18" s="47" t="s">
        <v>40</v>
      </c>
      <c r="C18" s="41">
        <f>SUM(C10:C17)</f>
        <v>3078.1</v>
      </c>
      <c r="D18" s="41">
        <f t="shared" ref="D18:T18" si="3">SUM(D10:D17)</f>
        <v>8039414</v>
      </c>
      <c r="E18" s="42">
        <f t="shared" si="3"/>
        <v>2584</v>
      </c>
      <c r="F18" s="42">
        <f t="shared" si="3"/>
        <v>23721</v>
      </c>
      <c r="G18" s="42">
        <f t="shared" si="3"/>
        <v>97923</v>
      </c>
      <c r="H18" s="42">
        <f t="shared" si="3"/>
        <v>66908</v>
      </c>
      <c r="I18" s="42">
        <f t="shared" si="3"/>
        <v>1419250</v>
      </c>
      <c r="J18" s="42">
        <f t="shared" si="3"/>
        <v>0</v>
      </c>
      <c r="K18" s="42">
        <f t="shared" si="3"/>
        <v>22589</v>
      </c>
      <c r="L18" s="42">
        <f t="shared" si="3"/>
        <v>0</v>
      </c>
      <c r="M18" s="42">
        <f t="shared" si="3"/>
        <v>802706</v>
      </c>
      <c r="N18" s="42">
        <f t="shared" si="3"/>
        <v>553580</v>
      </c>
      <c r="O18" s="42">
        <f t="shared" si="3"/>
        <v>18178</v>
      </c>
      <c r="P18" s="42">
        <f t="shared" si="3"/>
        <v>9728</v>
      </c>
      <c r="Q18" s="42">
        <f t="shared" si="3"/>
        <v>94819</v>
      </c>
      <c r="R18" s="42">
        <f t="shared" si="3"/>
        <v>3111986</v>
      </c>
      <c r="S18" s="41">
        <f t="shared" si="3"/>
        <v>11151400</v>
      </c>
      <c r="T18" s="41">
        <f t="shared" si="3"/>
        <v>89211200</v>
      </c>
    </row>
    <row r="19" spans="1:20" ht="12" customHeight="1" x14ac:dyDescent="0.25">
      <c r="A19" s="40"/>
      <c r="B19" s="47" t="s">
        <v>41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"/>
      <c r="T19" s="41">
        <f>[1]штати!Y416</f>
        <v>41883200</v>
      </c>
    </row>
    <row r="20" spans="1:20" ht="12" customHeight="1" x14ac:dyDescent="0.25">
      <c r="A20" s="40"/>
      <c r="B20" s="47" t="s">
        <v>42</v>
      </c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1"/>
      <c r="T20" s="41">
        <f>[1]штати!Y417</f>
        <v>489560</v>
      </c>
    </row>
    <row r="21" spans="1:20" ht="13.2" customHeight="1" x14ac:dyDescent="0.25">
      <c r="A21" s="40"/>
      <c r="B21" s="48" t="s">
        <v>43</v>
      </c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1"/>
      <c r="T21" s="41">
        <f>[1]штати!Y418</f>
        <v>4954010</v>
      </c>
    </row>
    <row r="22" spans="1:20" ht="19.2" customHeight="1" x14ac:dyDescent="0.25">
      <c r="A22" s="40"/>
      <c r="B22" s="49" t="s">
        <v>44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1">
        <f>[1]штати!Y419</f>
        <v>936700</v>
      </c>
    </row>
    <row r="23" spans="1:20" ht="21" customHeight="1" x14ac:dyDescent="0.25">
      <c r="A23" s="40"/>
      <c r="B23" s="50" t="s">
        <v>45</v>
      </c>
      <c r="C23" s="51">
        <f t="shared" ref="C23:S23" si="4">C18</f>
        <v>3078.1</v>
      </c>
      <c r="D23" s="51">
        <f t="shared" si="4"/>
        <v>8039414</v>
      </c>
      <c r="E23" s="51">
        <f t="shared" si="4"/>
        <v>2584</v>
      </c>
      <c r="F23" s="52">
        <f t="shared" si="4"/>
        <v>23721</v>
      </c>
      <c r="G23" s="52">
        <f t="shared" si="4"/>
        <v>97923</v>
      </c>
      <c r="H23" s="52">
        <f t="shared" si="4"/>
        <v>66908</v>
      </c>
      <c r="I23" s="52">
        <f t="shared" si="4"/>
        <v>1419250</v>
      </c>
      <c r="J23" s="52">
        <f t="shared" si="4"/>
        <v>0</v>
      </c>
      <c r="K23" s="52">
        <f t="shared" si="4"/>
        <v>22589</v>
      </c>
      <c r="L23" s="52">
        <f t="shared" si="4"/>
        <v>0</v>
      </c>
      <c r="M23" s="52">
        <f t="shared" si="4"/>
        <v>802706</v>
      </c>
      <c r="N23" s="52">
        <f t="shared" si="4"/>
        <v>553580</v>
      </c>
      <c r="O23" s="52">
        <f t="shared" si="4"/>
        <v>18178</v>
      </c>
      <c r="P23" s="52">
        <f t="shared" si="4"/>
        <v>9728</v>
      </c>
      <c r="Q23" s="52">
        <f t="shared" si="4"/>
        <v>94819</v>
      </c>
      <c r="R23" s="52">
        <f t="shared" si="4"/>
        <v>3111986</v>
      </c>
      <c r="S23" s="51">
        <f t="shared" si="4"/>
        <v>11151400</v>
      </c>
      <c r="T23" s="51">
        <f>SUM(T18:T22)</f>
        <v>137474670</v>
      </c>
    </row>
    <row r="24" spans="1:20" s="56" customFormat="1" ht="12" customHeight="1" x14ac:dyDescent="0.25">
      <c r="A24" s="53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</row>
    <row r="25" spans="1:20" s="56" customFormat="1" ht="13.5" customHeight="1" x14ac:dyDescent="0.25">
      <c r="A25" s="39">
        <v>1</v>
      </c>
      <c r="B25" s="40" t="s">
        <v>32</v>
      </c>
      <c r="C25" s="40">
        <f>[1]штати!C425+[1]штати!C426</f>
        <v>2</v>
      </c>
      <c r="D25" s="41">
        <f>[1]штати!F425+[1]штати!F426</f>
        <v>9818</v>
      </c>
      <c r="E25" s="42">
        <f>[1]штати!G425</f>
        <v>5167</v>
      </c>
      <c r="F25" s="40">
        <f>[1]штати!K426</f>
        <v>0</v>
      </c>
      <c r="G25" s="40"/>
      <c r="H25" s="40"/>
      <c r="I25" s="40">
        <f>[1]штати!N425+[1]штати!N471+[1]штати!N426</f>
        <v>2946</v>
      </c>
      <c r="J25" s="40">
        <f>[1]штати!J425+[1]штати!J471+[1]штати!J426</f>
        <v>1513</v>
      </c>
      <c r="K25" s="40"/>
      <c r="L25" s="40"/>
      <c r="M25" s="40">
        <f>[1]штати!P425+[1]штати!P471+[1]штати!P426+[1]штати!Q425+[1]штати!Q471+[1]штати!Q426</f>
        <v>2848</v>
      </c>
      <c r="N25" s="40">
        <f>[1]штати!R425+[1]штати!S425+[1]штати!R426+[1]штати!S426</f>
        <v>1719</v>
      </c>
      <c r="O25" s="40"/>
      <c r="P25" s="40"/>
      <c r="Q25" s="40"/>
      <c r="R25" s="42">
        <f>SUM(E25:Q25)</f>
        <v>14193</v>
      </c>
      <c r="S25" s="41">
        <f t="shared" ref="S25:S32" si="5">R25+D25</f>
        <v>24011</v>
      </c>
      <c r="T25" s="41">
        <f>S25*8</f>
        <v>192088</v>
      </c>
    </row>
    <row r="26" spans="1:20" s="56" customFormat="1" ht="12" customHeight="1" x14ac:dyDescent="0.25">
      <c r="A26" s="39">
        <v>2</v>
      </c>
      <c r="B26" s="40" t="s">
        <v>33</v>
      </c>
      <c r="C26" s="40">
        <f>[1]штати!C427</f>
        <v>4</v>
      </c>
      <c r="D26" s="41">
        <f>[1]штати!F427</f>
        <v>19244</v>
      </c>
      <c r="E26" s="41"/>
      <c r="F26" s="40">
        <f>[1]штати!K427</f>
        <v>0</v>
      </c>
      <c r="G26" s="40"/>
      <c r="H26" s="40"/>
      <c r="I26" s="40">
        <f>[1]штати!N427</f>
        <v>5293</v>
      </c>
      <c r="J26" s="40"/>
      <c r="K26" s="40"/>
      <c r="L26" s="40"/>
      <c r="M26" s="40">
        <f>[1]штати!P427+[1]штати!Q427</f>
        <v>5197</v>
      </c>
      <c r="N26" s="40">
        <f>[1]штати!R427+[1]штати!S427</f>
        <v>3129</v>
      </c>
      <c r="O26" s="40"/>
      <c r="P26" s="40"/>
      <c r="Q26" s="40"/>
      <c r="R26" s="42">
        <f t="shared" ref="R26:R32" si="6">SUM(E26:Q26)</f>
        <v>13619</v>
      </c>
      <c r="S26" s="41">
        <f t="shared" si="5"/>
        <v>32863</v>
      </c>
      <c r="T26" s="41">
        <f t="shared" ref="T26:T31" si="7">S26*8</f>
        <v>262904</v>
      </c>
    </row>
    <row r="27" spans="1:20" s="56" customFormat="1" ht="10.5" customHeight="1" x14ac:dyDescent="0.25">
      <c r="A27" s="39">
        <v>3</v>
      </c>
      <c r="B27" s="40" t="s">
        <v>34</v>
      </c>
      <c r="C27" s="41">
        <f>[1]штати!C441</f>
        <v>574.79999999999995</v>
      </c>
      <c r="D27" s="41">
        <f>[1]штати!F441</f>
        <v>2054397.25</v>
      </c>
      <c r="E27" s="41"/>
      <c r="F27" s="42">
        <f>[1]штати!K441</f>
        <v>432</v>
      </c>
      <c r="G27" s="42"/>
      <c r="H27" s="42"/>
      <c r="I27" s="42">
        <f>[1]штати!N441</f>
        <v>402010</v>
      </c>
      <c r="J27" s="42">
        <f>[1]штати!J441</f>
        <v>1216</v>
      </c>
      <c r="K27" s="42">
        <f>[1]штати!L441</f>
        <v>1653</v>
      </c>
      <c r="L27" s="42">
        <f>[1]штати!M441</f>
        <v>37066</v>
      </c>
      <c r="M27" s="42">
        <f>[1]штати!P441+[1]штати!Q441</f>
        <v>141541</v>
      </c>
      <c r="N27" s="42">
        <f>[1]штати!R441+[1]штати!S441</f>
        <v>116697</v>
      </c>
      <c r="O27" s="40"/>
      <c r="P27" s="42">
        <f>[1]штати!U441</f>
        <v>2434</v>
      </c>
      <c r="Q27" s="42">
        <f>[1]штати!O441</f>
        <v>30185</v>
      </c>
      <c r="R27" s="42">
        <f t="shared" si="6"/>
        <v>733234</v>
      </c>
      <c r="S27" s="41">
        <f t="shared" si="5"/>
        <v>2787631.25</v>
      </c>
      <c r="T27" s="41">
        <f t="shared" si="7"/>
        <v>22301050</v>
      </c>
    </row>
    <row r="28" spans="1:20" s="56" customFormat="1" ht="10.5" customHeight="1" x14ac:dyDescent="0.25">
      <c r="A28" s="39">
        <v>4</v>
      </c>
      <c r="B28" s="40" t="s">
        <v>35</v>
      </c>
      <c r="C28" s="41">
        <f>[1]штати!C446</f>
        <v>1.5</v>
      </c>
      <c r="D28" s="41">
        <f>[1]штати!F446</f>
        <v>6729</v>
      </c>
      <c r="E28" s="41"/>
      <c r="F28" s="40"/>
      <c r="G28" s="40"/>
      <c r="H28" s="40"/>
      <c r="I28" s="42">
        <f>[1]штати!N446</f>
        <v>2020</v>
      </c>
      <c r="J28" s="40"/>
      <c r="K28" s="40"/>
      <c r="L28" s="40"/>
      <c r="M28" s="42">
        <f>[1]штати!Q446</f>
        <v>1683</v>
      </c>
      <c r="N28" s="42">
        <f>[1]штати!S446</f>
        <v>1011</v>
      </c>
      <c r="O28" s="40"/>
      <c r="P28" s="40"/>
      <c r="Q28" s="40"/>
      <c r="R28" s="42">
        <f t="shared" si="6"/>
        <v>4714</v>
      </c>
      <c r="S28" s="41">
        <f t="shared" si="5"/>
        <v>11443</v>
      </c>
      <c r="T28" s="41">
        <f t="shared" si="7"/>
        <v>91544</v>
      </c>
    </row>
    <row r="29" spans="1:20" s="56" customFormat="1" ht="12" customHeight="1" x14ac:dyDescent="0.25">
      <c r="A29" s="39">
        <v>5</v>
      </c>
      <c r="B29" s="43" t="s">
        <v>36</v>
      </c>
      <c r="C29" s="40">
        <v>46</v>
      </c>
      <c r="D29" s="40">
        <v>91179.5</v>
      </c>
      <c r="E29" s="40"/>
      <c r="F29" s="40"/>
      <c r="G29" s="40">
        <v>18243</v>
      </c>
      <c r="H29" s="40"/>
      <c r="I29" s="40">
        <v>11794</v>
      </c>
      <c r="J29" s="40"/>
      <c r="K29" s="40"/>
      <c r="L29" s="40"/>
      <c r="M29" s="40"/>
      <c r="N29" s="40">
        <v>351</v>
      </c>
      <c r="O29" s="40">
        <v>4109</v>
      </c>
      <c r="P29" s="40"/>
      <c r="Q29" s="40"/>
      <c r="R29" s="42">
        <f t="shared" si="6"/>
        <v>34497</v>
      </c>
      <c r="S29" s="41">
        <f t="shared" si="5"/>
        <v>125676.5</v>
      </c>
      <c r="T29" s="41">
        <f t="shared" si="7"/>
        <v>1005412</v>
      </c>
    </row>
    <row r="30" spans="1:20" s="56" customFormat="1" ht="12.75" customHeight="1" x14ac:dyDescent="0.25">
      <c r="A30" s="39">
        <v>6</v>
      </c>
      <c r="B30" s="43" t="s">
        <v>37</v>
      </c>
      <c r="C30" s="40">
        <f>415.25+1</f>
        <v>416.25</v>
      </c>
      <c r="D30" s="40">
        <v>743382.75</v>
      </c>
      <c r="E30" s="40"/>
      <c r="F30" s="40">
        <v>1034</v>
      </c>
      <c r="G30" s="40"/>
      <c r="H30" s="40"/>
      <c r="I30" s="40">
        <v>2942</v>
      </c>
      <c r="J30" s="40">
        <v>1930</v>
      </c>
      <c r="K30" s="40"/>
      <c r="L30" s="40"/>
      <c r="M30" s="40">
        <v>540</v>
      </c>
      <c r="N30" s="40">
        <f>1034+324</f>
        <v>1358</v>
      </c>
      <c r="O30" s="40">
        <v>24661</v>
      </c>
      <c r="P30" s="40"/>
      <c r="Q30" s="40"/>
      <c r="R30" s="42">
        <f t="shared" si="6"/>
        <v>32465</v>
      </c>
      <c r="S30" s="41">
        <f t="shared" si="5"/>
        <v>775847.75</v>
      </c>
      <c r="T30" s="41">
        <f t="shared" si="7"/>
        <v>6206782</v>
      </c>
    </row>
    <row r="31" spans="1:20" s="56" customFormat="1" ht="12.75" customHeight="1" x14ac:dyDescent="0.25">
      <c r="A31" s="39">
        <v>7</v>
      </c>
      <c r="B31" s="43" t="s">
        <v>38</v>
      </c>
      <c r="C31" s="40">
        <v>21.5</v>
      </c>
      <c r="D31" s="40">
        <v>46349</v>
      </c>
      <c r="E31" s="40"/>
      <c r="F31" s="40"/>
      <c r="G31" s="40"/>
      <c r="H31" s="40">
        <v>23176</v>
      </c>
      <c r="I31" s="40">
        <v>13713</v>
      </c>
      <c r="J31" s="40">
        <v>404</v>
      </c>
      <c r="K31" s="40"/>
      <c r="L31" s="40">
        <v>205</v>
      </c>
      <c r="M31" s="40"/>
      <c r="N31" s="40"/>
      <c r="O31" s="40"/>
      <c r="P31" s="40"/>
      <c r="Q31" s="40"/>
      <c r="R31" s="42">
        <f t="shared" si="6"/>
        <v>37498</v>
      </c>
      <c r="S31" s="41">
        <f t="shared" si="5"/>
        <v>83847</v>
      </c>
      <c r="T31" s="41">
        <f t="shared" si="7"/>
        <v>670776</v>
      </c>
    </row>
    <row r="32" spans="1:20" s="56" customFormat="1" ht="12" customHeight="1" x14ac:dyDescent="0.25">
      <c r="A32" s="39">
        <v>8</v>
      </c>
      <c r="B32" s="46" t="s">
        <v>39</v>
      </c>
      <c r="C32" s="41">
        <f>459.5+1-1</f>
        <v>459.5</v>
      </c>
      <c r="D32" s="41">
        <v>702781</v>
      </c>
      <c r="E32" s="41"/>
      <c r="F32" s="40"/>
      <c r="G32" s="40"/>
      <c r="H32" s="40"/>
      <c r="I32" s="40"/>
      <c r="J32" s="40"/>
      <c r="K32" s="40"/>
      <c r="L32" s="40"/>
      <c r="M32" s="40"/>
      <c r="N32" s="40"/>
      <c r="O32" s="40">
        <v>21891</v>
      </c>
      <c r="P32" s="40"/>
      <c r="Q32" s="40">
        <v>85323</v>
      </c>
      <c r="R32" s="42">
        <f t="shared" si="6"/>
        <v>107214</v>
      </c>
      <c r="S32" s="41">
        <f t="shared" si="5"/>
        <v>809995</v>
      </c>
      <c r="T32" s="41">
        <v>6446498</v>
      </c>
    </row>
    <row r="33" spans="1:20" s="56" customFormat="1" ht="19.5" customHeight="1" x14ac:dyDescent="0.25">
      <c r="A33" s="40"/>
      <c r="B33" s="47" t="s">
        <v>40</v>
      </c>
      <c r="C33" s="41">
        <f>SUM(C25:C32)</f>
        <v>1525.55</v>
      </c>
      <c r="D33" s="41">
        <f t="shared" ref="D33:S33" si="8">SUM(D25:D32)</f>
        <v>3673880.5</v>
      </c>
      <c r="E33" s="42">
        <f t="shared" si="8"/>
        <v>5167</v>
      </c>
      <c r="F33" s="42">
        <f t="shared" si="8"/>
        <v>1466</v>
      </c>
      <c r="G33" s="42">
        <f>SUM(G25:G32)</f>
        <v>18243</v>
      </c>
      <c r="H33" s="42">
        <f t="shared" si="8"/>
        <v>23176</v>
      </c>
      <c r="I33" s="42">
        <f t="shared" si="8"/>
        <v>440718</v>
      </c>
      <c r="J33" s="42">
        <f t="shared" si="8"/>
        <v>5063</v>
      </c>
      <c r="K33" s="42">
        <f t="shared" si="8"/>
        <v>1653</v>
      </c>
      <c r="L33" s="42">
        <f t="shared" si="8"/>
        <v>37271</v>
      </c>
      <c r="M33" s="42">
        <f t="shared" si="8"/>
        <v>151809</v>
      </c>
      <c r="N33" s="42">
        <f t="shared" si="8"/>
        <v>124265</v>
      </c>
      <c r="O33" s="42">
        <f t="shared" si="8"/>
        <v>50661</v>
      </c>
      <c r="P33" s="42">
        <f t="shared" si="8"/>
        <v>2434</v>
      </c>
      <c r="Q33" s="42">
        <f t="shared" si="8"/>
        <v>115508</v>
      </c>
      <c r="R33" s="42">
        <f t="shared" si="8"/>
        <v>977434</v>
      </c>
      <c r="S33" s="41">
        <f t="shared" si="8"/>
        <v>4651314.5</v>
      </c>
      <c r="T33" s="41">
        <f>SUM(T25:T32)</f>
        <v>37177054</v>
      </c>
    </row>
    <row r="34" spans="1:20" s="56" customFormat="1" ht="9.75" customHeight="1" x14ac:dyDescent="0.25">
      <c r="A34" s="40"/>
      <c r="B34" s="57" t="s">
        <v>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>
        <f>[1]штати!X442</f>
        <v>343656.25</v>
      </c>
      <c r="T34" s="41">
        <f>S34*8</f>
        <v>2749250</v>
      </c>
    </row>
    <row r="35" spans="1:20" s="56" customFormat="1" ht="9.75" customHeight="1" x14ac:dyDescent="0.25">
      <c r="A35" s="40"/>
      <c r="B35" s="57" t="s">
        <v>41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1">
        <f>[1]штати!Y819</f>
        <v>19588884</v>
      </c>
    </row>
    <row r="36" spans="1:20" s="56" customFormat="1" ht="22.8" customHeight="1" x14ac:dyDescent="0.25">
      <c r="A36" s="40"/>
      <c r="B36" s="48" t="s">
        <v>48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1">
        <v>1050736</v>
      </c>
    </row>
    <row r="37" spans="1:20" s="56" customFormat="1" ht="18.600000000000001" customHeight="1" x14ac:dyDescent="0.25">
      <c r="A37" s="40"/>
      <c r="B37" s="48" t="s">
        <v>44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>
        <f>[1]штати!Y822</f>
        <v>419076</v>
      </c>
    </row>
    <row r="38" spans="1:20" s="56" customFormat="1" ht="20.25" customHeight="1" x14ac:dyDescent="0.25">
      <c r="A38" s="40"/>
      <c r="B38" s="50" t="s">
        <v>49</v>
      </c>
      <c r="C38" s="51">
        <f t="shared" ref="C38:R38" si="9">SUM(C33:C34)</f>
        <v>1525.55</v>
      </c>
      <c r="D38" s="51">
        <f t="shared" si="9"/>
        <v>3673880.5</v>
      </c>
      <c r="E38" s="51">
        <f t="shared" si="9"/>
        <v>5167</v>
      </c>
      <c r="F38" s="52">
        <f t="shared" si="9"/>
        <v>1466</v>
      </c>
      <c r="G38" s="52">
        <f t="shared" si="9"/>
        <v>18243</v>
      </c>
      <c r="H38" s="52">
        <f t="shared" si="9"/>
        <v>23176</v>
      </c>
      <c r="I38" s="52">
        <f t="shared" si="9"/>
        <v>440718</v>
      </c>
      <c r="J38" s="52">
        <f t="shared" si="9"/>
        <v>5063</v>
      </c>
      <c r="K38" s="52">
        <f t="shared" si="9"/>
        <v>1653</v>
      </c>
      <c r="L38" s="52">
        <f t="shared" si="9"/>
        <v>37271</v>
      </c>
      <c r="M38" s="52">
        <f t="shared" si="9"/>
        <v>151809</v>
      </c>
      <c r="N38" s="52">
        <f t="shared" si="9"/>
        <v>124265</v>
      </c>
      <c r="O38" s="52">
        <f t="shared" si="9"/>
        <v>50661</v>
      </c>
      <c r="P38" s="52">
        <f t="shared" si="9"/>
        <v>2434</v>
      </c>
      <c r="Q38" s="52">
        <f t="shared" si="9"/>
        <v>115508</v>
      </c>
      <c r="R38" s="52">
        <f t="shared" si="9"/>
        <v>977434</v>
      </c>
      <c r="S38" s="51">
        <f>SUM(S33:S37)</f>
        <v>4994970.75</v>
      </c>
      <c r="T38" s="58">
        <f>SUM(T33:T37)</f>
        <v>60985000</v>
      </c>
    </row>
    <row r="39" spans="1:20" s="56" customFormat="1" ht="15.75" customHeight="1" x14ac:dyDescent="0.25">
      <c r="A39" s="59"/>
      <c r="B39" s="60" t="s">
        <v>50</v>
      </c>
      <c r="C39" s="51">
        <f t="shared" ref="C39:T39" si="10">C38+C23</f>
        <v>4603.6499999999996</v>
      </c>
      <c r="D39" s="51">
        <f t="shared" si="10"/>
        <v>11713294.5</v>
      </c>
      <c r="E39" s="51">
        <f t="shared" si="10"/>
        <v>7751</v>
      </c>
      <c r="F39" s="52">
        <f t="shared" si="10"/>
        <v>25187</v>
      </c>
      <c r="G39" s="52">
        <f t="shared" si="10"/>
        <v>116166</v>
      </c>
      <c r="H39" s="52">
        <f t="shared" si="10"/>
        <v>90084</v>
      </c>
      <c r="I39" s="52">
        <f t="shared" si="10"/>
        <v>1859968</v>
      </c>
      <c r="J39" s="52">
        <f t="shared" si="10"/>
        <v>5063</v>
      </c>
      <c r="K39" s="52">
        <f t="shared" si="10"/>
        <v>24242</v>
      </c>
      <c r="L39" s="52">
        <f t="shared" si="10"/>
        <v>37271</v>
      </c>
      <c r="M39" s="52">
        <f t="shared" si="10"/>
        <v>954515</v>
      </c>
      <c r="N39" s="52">
        <f t="shared" si="10"/>
        <v>677845</v>
      </c>
      <c r="O39" s="52">
        <f t="shared" si="10"/>
        <v>68839</v>
      </c>
      <c r="P39" s="52">
        <f t="shared" si="10"/>
        <v>12162</v>
      </c>
      <c r="Q39" s="52">
        <f t="shared" si="10"/>
        <v>210327</v>
      </c>
      <c r="R39" s="52">
        <f t="shared" si="10"/>
        <v>4089420</v>
      </c>
      <c r="S39" s="51">
        <f t="shared" si="10"/>
        <v>16146370.75</v>
      </c>
      <c r="T39" s="51">
        <f t="shared" si="10"/>
        <v>198459670</v>
      </c>
    </row>
    <row r="40" spans="1:20" s="56" customFormat="1" ht="9.75" customHeight="1" x14ac:dyDescent="0.25"/>
    <row r="41" spans="1:20" s="56" customFormat="1" ht="1.5" hidden="1" customHeight="1" x14ac:dyDescent="0.25"/>
    <row r="42" spans="1:20" s="56" customFormat="1" ht="30.75" customHeight="1" x14ac:dyDescent="0.25">
      <c r="B42" s="56" t="s">
        <v>51</v>
      </c>
      <c r="G42" s="56" t="s">
        <v>52</v>
      </c>
      <c r="L42" s="56" t="s">
        <v>53</v>
      </c>
      <c r="R42" s="56" t="s">
        <v>54</v>
      </c>
    </row>
    <row r="43" spans="1:20" s="56" customFormat="1" ht="15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0" s="56" customFormat="1" x14ac:dyDescent="0.25"/>
    <row r="45" spans="1:20" s="56" customFormat="1" x14ac:dyDescent="0.25"/>
    <row r="46" spans="1:20" s="56" customFormat="1" x14ac:dyDescent="0.25"/>
    <row r="47" spans="1:20" s="56" customFormat="1" x14ac:dyDescent="0.25"/>
    <row r="48" spans="1:20" s="56" customFormat="1" x14ac:dyDescent="0.25"/>
    <row r="49" s="56" customFormat="1" x14ac:dyDescent="0.25"/>
    <row r="50" s="56" customFormat="1" x14ac:dyDescent="0.25"/>
  </sheetData>
  <mergeCells count="21">
    <mergeCell ref="O5:O7"/>
    <mergeCell ref="P5:P7"/>
    <mergeCell ref="Q5:Q7"/>
    <mergeCell ref="A9:T9"/>
    <mergeCell ref="A24:T24"/>
    <mergeCell ref="I5:I7"/>
    <mergeCell ref="J5:J7"/>
    <mergeCell ref="K5:K7"/>
    <mergeCell ref="L5:L7"/>
    <mergeCell ref="M5:M7"/>
    <mergeCell ref="N5:N7"/>
    <mergeCell ref="B1:S1"/>
    <mergeCell ref="A2:S2"/>
    <mergeCell ref="C4:C7"/>
    <mergeCell ref="D4:D7"/>
    <mergeCell ref="E4:K4"/>
    <mergeCell ref="M4:Q4"/>
    <mergeCell ref="E5:E7"/>
    <mergeCell ref="F5:F7"/>
    <mergeCell ref="G5:G7"/>
    <mergeCell ref="H5:H7"/>
  </mergeCells>
  <pageMargins left="0" right="0" top="0" bottom="0" header="0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штати</vt:lpstr>
      <vt:lpstr>звед</vt:lpstr>
      <vt:lpstr>звед!Заголовки_для_печати</vt:lpstr>
      <vt:lpstr>штати!Заголовки_для_печати</vt:lpstr>
      <vt:lpstr>штати!Область_печати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2016-06-02T07:45:02Z</dcterms:created>
  <dcterms:modified xsi:type="dcterms:W3CDTF">2016-06-02T07:47:05Z</dcterms:modified>
</cp:coreProperties>
</file>