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FO\SCHTAT\2021\"/>
    </mc:Choice>
  </mc:AlternateContent>
  <bookViews>
    <workbookView xWindow="0" yWindow="0" windowWidth="23016" windowHeight="8484"/>
  </bookViews>
  <sheets>
    <sheet name="звед" sheetId="1" r:id="rId1"/>
  </sheets>
  <externalReferences>
    <externalReference r:id="rId2"/>
  </externalReferences>
  <definedNames>
    <definedName name="_xlnm.Print_Titles" localSheetId="0">звед!$8:$8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B40" i="1"/>
  <c r="H36" i="1"/>
  <c r="U35" i="1"/>
  <c r="U34" i="1"/>
  <c r="U33" i="1"/>
  <c r="T33" i="1"/>
  <c r="M32" i="1"/>
  <c r="M36" i="1" s="1"/>
  <c r="H32" i="1"/>
  <c r="G32" i="1"/>
  <c r="G36" i="1" s="1"/>
  <c r="E32" i="1"/>
  <c r="E36" i="1" s="1"/>
  <c r="R31" i="1"/>
  <c r="Q31" i="1"/>
  <c r="O31" i="1"/>
  <c r="S31" i="1" s="1"/>
  <c r="T31" i="1" s="1"/>
  <c r="U31" i="1" s="1"/>
  <c r="D31" i="1"/>
  <c r="C31" i="1"/>
  <c r="C32" i="1" s="1"/>
  <c r="C36" i="1" s="1"/>
  <c r="T30" i="1"/>
  <c r="U30" i="1" s="1"/>
  <c r="S30" i="1"/>
  <c r="R29" i="1"/>
  <c r="Q29" i="1"/>
  <c r="Q32" i="1" s="1"/>
  <c r="Q36" i="1" s="1"/>
  <c r="O29" i="1"/>
  <c r="N29" i="1"/>
  <c r="J29" i="1"/>
  <c r="I29" i="1"/>
  <c r="I32" i="1" s="1"/>
  <c r="I36" i="1" s="1"/>
  <c r="F29" i="1"/>
  <c r="D29" i="1"/>
  <c r="C29" i="1"/>
  <c r="N28" i="1"/>
  <c r="I28" i="1"/>
  <c r="S28" i="1" s="1"/>
  <c r="T28" i="1" s="1"/>
  <c r="U28" i="1" s="1"/>
  <c r="G28" i="1"/>
  <c r="D28" i="1"/>
  <c r="C28" i="1"/>
  <c r="S27" i="1"/>
  <c r="T27" i="1" s="1"/>
  <c r="U27" i="1" s="1"/>
  <c r="J27" i="1"/>
  <c r="Q26" i="1"/>
  <c r="P26" i="1"/>
  <c r="P32" i="1" s="1"/>
  <c r="P36" i="1" s="1"/>
  <c r="N26" i="1"/>
  <c r="M26" i="1"/>
  <c r="L26" i="1"/>
  <c r="L32" i="1" s="1"/>
  <c r="L36" i="1" s="1"/>
  <c r="K26" i="1"/>
  <c r="K32" i="1" s="1"/>
  <c r="K36" i="1" s="1"/>
  <c r="J26" i="1"/>
  <c r="I26" i="1"/>
  <c r="S26" i="1" s="1"/>
  <c r="T26" i="1" s="1"/>
  <c r="U26" i="1" s="1"/>
  <c r="F26" i="1"/>
  <c r="F32" i="1" s="1"/>
  <c r="F36" i="1" s="1"/>
  <c r="D26" i="1"/>
  <c r="C26" i="1"/>
  <c r="S25" i="1"/>
  <c r="T25" i="1" s="1"/>
  <c r="U25" i="1" s="1"/>
  <c r="J25" i="1"/>
  <c r="N24" i="1"/>
  <c r="N32" i="1" s="1"/>
  <c r="N36" i="1" s="1"/>
  <c r="M24" i="1"/>
  <c r="J24" i="1"/>
  <c r="J32" i="1" s="1"/>
  <c r="J36" i="1" s="1"/>
  <c r="I24" i="1"/>
  <c r="S24" i="1" s="1"/>
  <c r="E24" i="1"/>
  <c r="D24" i="1"/>
  <c r="C24" i="1"/>
  <c r="O22" i="1"/>
  <c r="K22" i="1"/>
  <c r="G22" i="1"/>
  <c r="G37" i="1" s="1"/>
  <c r="C22" i="1"/>
  <c r="U20" i="1"/>
  <c r="U19" i="1"/>
  <c r="R18" i="1"/>
  <c r="R22" i="1" s="1"/>
  <c r="P18" i="1"/>
  <c r="P22" i="1" s="1"/>
  <c r="P37" i="1" s="1"/>
  <c r="O18" i="1"/>
  <c r="L18" i="1"/>
  <c r="L22" i="1" s="1"/>
  <c r="L37" i="1" s="1"/>
  <c r="J18" i="1"/>
  <c r="J22" i="1" s="1"/>
  <c r="G18" i="1"/>
  <c r="F18" i="1"/>
  <c r="F22" i="1" s="1"/>
  <c r="F37" i="1" s="1"/>
  <c r="D18" i="1"/>
  <c r="D22" i="1" s="1"/>
  <c r="U17" i="1"/>
  <c r="S17" i="1"/>
  <c r="T17" i="1" s="1"/>
  <c r="Q17" i="1"/>
  <c r="I16" i="1"/>
  <c r="H16" i="1"/>
  <c r="H18" i="1" s="1"/>
  <c r="H22" i="1" s="1"/>
  <c r="H37" i="1" s="1"/>
  <c r="T15" i="1"/>
  <c r="U15" i="1" s="1"/>
  <c r="S15" i="1"/>
  <c r="S14" i="1"/>
  <c r="T14" i="1" s="1"/>
  <c r="U14" i="1" s="1"/>
  <c r="I14" i="1"/>
  <c r="N13" i="1"/>
  <c r="I13" i="1"/>
  <c r="S13" i="1" s="1"/>
  <c r="T13" i="1" s="1"/>
  <c r="U13" i="1" s="1"/>
  <c r="D13" i="1"/>
  <c r="C13" i="1"/>
  <c r="T12" i="1"/>
  <c r="U12" i="1" s="1"/>
  <c r="Q12" i="1"/>
  <c r="Q18" i="1" s="1"/>
  <c r="Q22" i="1" s="1"/>
  <c r="Q37" i="1" s="1"/>
  <c r="P12" i="1"/>
  <c r="N12" i="1"/>
  <c r="M12" i="1"/>
  <c r="K12" i="1"/>
  <c r="K18" i="1" s="1"/>
  <c r="I12" i="1"/>
  <c r="F12" i="1"/>
  <c r="S12" i="1" s="1"/>
  <c r="D12" i="1"/>
  <c r="C12" i="1"/>
  <c r="T11" i="1"/>
  <c r="U11" i="1" s="1"/>
  <c r="N11" i="1"/>
  <c r="M11" i="1"/>
  <c r="I11" i="1"/>
  <c r="S11" i="1" s="1"/>
  <c r="D11" i="1"/>
  <c r="C11" i="1"/>
  <c r="N10" i="1"/>
  <c r="N18" i="1" s="1"/>
  <c r="N22" i="1" s="1"/>
  <c r="N37" i="1" s="1"/>
  <c r="M10" i="1"/>
  <c r="M18" i="1" s="1"/>
  <c r="M22" i="1" s="1"/>
  <c r="M37" i="1" s="1"/>
  <c r="I10" i="1"/>
  <c r="I18" i="1" s="1"/>
  <c r="I22" i="1" s="1"/>
  <c r="I37" i="1" s="1"/>
  <c r="F10" i="1"/>
  <c r="E10" i="1"/>
  <c r="D10" i="1"/>
  <c r="C10" i="1"/>
  <c r="C18" i="1" s="1"/>
  <c r="T24" i="1" l="1"/>
  <c r="S16" i="1"/>
  <c r="T16" i="1" s="1"/>
  <c r="U16" i="1" s="1"/>
  <c r="C37" i="1"/>
  <c r="K37" i="1"/>
  <c r="S29" i="1"/>
  <c r="T29" i="1" s="1"/>
  <c r="U29" i="1" s="1"/>
  <c r="E18" i="1"/>
  <c r="E22" i="1" s="1"/>
  <c r="E37" i="1" s="1"/>
  <c r="S10" i="1"/>
  <c r="J37" i="1"/>
  <c r="D32" i="1"/>
  <c r="D36" i="1" s="1"/>
  <c r="D37" i="1" s="1"/>
  <c r="R32" i="1"/>
  <c r="R36" i="1" s="1"/>
  <c r="R37" i="1" s="1"/>
  <c r="O32" i="1"/>
  <c r="O36" i="1" s="1"/>
  <c r="O37" i="1" s="1"/>
  <c r="S18" i="1" l="1"/>
  <c r="S22" i="1" s="1"/>
  <c r="T10" i="1"/>
  <c r="T32" i="1"/>
  <c r="T36" i="1" s="1"/>
  <c r="U24" i="1"/>
  <c r="U32" i="1" s="1"/>
  <c r="U36" i="1" s="1"/>
  <c r="S32" i="1"/>
  <c r="S36" i="1" s="1"/>
  <c r="S37" i="1" l="1"/>
  <c r="U10" i="1"/>
  <c r="U18" i="1" s="1"/>
  <c r="U22" i="1" s="1"/>
  <c r="U37" i="1" s="1"/>
  <c r="T18" i="1"/>
  <c r="T22" i="1" s="1"/>
  <c r="T37" i="1" s="1"/>
</calcChain>
</file>

<file path=xl/sharedStrings.xml><?xml version="1.0" encoding="utf-8"?>
<sst xmlns="http://schemas.openxmlformats.org/spreadsheetml/2006/main" count="66" uniqueCount="52">
  <si>
    <t>Зведений штатний розпис на  2021 рік</t>
  </si>
  <si>
    <t>Н а ц і о н а л ь н и й    т е х н і ч н и й    у н і в е р с и т е т   "ХПІ"</t>
  </si>
  <si>
    <t>з 01.01.2021</t>
  </si>
  <si>
    <t>№п\п</t>
  </si>
  <si>
    <t>Назва структурного</t>
  </si>
  <si>
    <t>Кільк.шт.од.</t>
  </si>
  <si>
    <t xml:space="preserve">Разом по окладах ЄТС </t>
  </si>
  <si>
    <t>Надбавки(грн)</t>
  </si>
  <si>
    <t>Доплати (грн.)</t>
  </si>
  <si>
    <t>Разом</t>
  </si>
  <si>
    <t>Фонд</t>
  </si>
  <si>
    <t xml:space="preserve"> підрозділу та посад</t>
  </si>
  <si>
    <t>Згідно постанови КМУ №134 від 07.02.2001</t>
  </si>
  <si>
    <t>"Заслуж."</t>
  </si>
  <si>
    <t>Педагогічному персоналу 20%</t>
  </si>
  <si>
    <t>За особливі умови праці</t>
  </si>
  <si>
    <t>Вислуга років</t>
  </si>
  <si>
    <t>За працю в умовах реж.обмеж.</t>
  </si>
  <si>
    <t>Спортивне звання</t>
  </si>
  <si>
    <t xml:space="preserve">За володіння інозем.мовою </t>
  </si>
  <si>
    <t>вчене звання</t>
  </si>
  <si>
    <t>наукова ступень</t>
  </si>
  <si>
    <t>Праця в шкідл.умовах,прибир.туалетів</t>
  </si>
  <si>
    <t>За зав.кафед.</t>
  </si>
  <si>
    <t>Зам.декан,бригад.,класн., майстерн.ночн.,н.р.д.</t>
  </si>
  <si>
    <t>Доплата до 6000 грн.</t>
  </si>
  <si>
    <t>доплати</t>
  </si>
  <si>
    <t>заробітної</t>
  </si>
  <si>
    <t>та надб.</t>
  </si>
  <si>
    <t xml:space="preserve">плати на </t>
  </si>
  <si>
    <t>місяць</t>
  </si>
  <si>
    <t xml:space="preserve"> 2021 РІК</t>
  </si>
  <si>
    <t>Загальний фонд</t>
  </si>
  <si>
    <t>АУП (ректор, проректори)</t>
  </si>
  <si>
    <t>АУП (директор,декани)</t>
  </si>
  <si>
    <t>ПВС</t>
  </si>
  <si>
    <t>інші НПП</t>
  </si>
  <si>
    <t>Педагогічні працівники</t>
  </si>
  <si>
    <t>Спеціалісти</t>
  </si>
  <si>
    <t>Бібліотекарі</t>
  </si>
  <si>
    <t>Робітники</t>
  </si>
  <si>
    <t>Разом по всіх категоріях працівників</t>
  </si>
  <si>
    <t>Щорічна винагорода пед.прац.</t>
  </si>
  <si>
    <t>Доплата на оздоровлення</t>
  </si>
  <si>
    <t>нерозподілені видатки</t>
  </si>
  <si>
    <t>Разом по загальному фонду</t>
  </si>
  <si>
    <t>Спеціальний фонд</t>
  </si>
  <si>
    <t>Погодинний фонд</t>
  </si>
  <si>
    <t>Разом по cпеціальному фонду</t>
  </si>
  <si>
    <t>Разом по ВУЗу</t>
  </si>
  <si>
    <t>Начальник ПФВ</t>
  </si>
  <si>
    <t>Ніна ГОРБАТЕНКО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</si>
</sst>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b/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textRotation="90" wrapText="1"/>
    </xf>
    <xf numFmtId="0" fontId="10" fillId="0" borderId="7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7" fillId="0" borderId="9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/>
    <xf numFmtId="2" fontId="13" fillId="0" borderId="11" xfId="0" applyNumberFormat="1" applyFont="1" applyFill="1" applyBorder="1"/>
    <xf numFmtId="1" fontId="13" fillId="0" borderId="11" xfId="0" applyNumberFormat="1" applyFont="1" applyFill="1" applyBorder="1"/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wrapText="1"/>
    </xf>
    <xf numFmtId="164" fontId="14" fillId="0" borderId="11" xfId="0" applyNumberFormat="1" applyFont="1" applyFill="1" applyBorder="1"/>
    <xf numFmtId="0" fontId="15" fillId="0" borderId="11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left" vertical="center" wrapText="1"/>
    </xf>
    <xf numFmtId="2" fontId="16" fillId="0" borderId="1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" fillId="0" borderId="0" xfId="0" applyFont="1" applyFill="1"/>
    <xf numFmtId="164" fontId="13" fillId="0" borderId="11" xfId="0" applyNumberFormat="1" applyFont="1" applyFill="1" applyBorder="1"/>
    <xf numFmtId="0" fontId="1" fillId="0" borderId="11" xfId="0" applyFont="1" applyFill="1" applyBorder="1"/>
    <xf numFmtId="0" fontId="5" fillId="0" borderId="11" xfId="0" applyFont="1" applyFill="1" applyBorder="1"/>
    <xf numFmtId="164" fontId="15" fillId="0" borderId="11" xfId="0" applyNumberFormat="1" applyFont="1" applyFill="1" applyBorder="1" applyAlignment="1">
      <alignment horizont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0;%20&#1089;%2001.01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"/>
      <sheetName val="звед с 1.01 хпи"/>
      <sheetName val="якіс хпи"/>
      <sheetName val="ХПИ"/>
      <sheetName val="штати"/>
      <sheetName val="посади"/>
      <sheetName val="заг.ф"/>
      <sheetName val="спец.ф"/>
    </sheetNames>
    <sheetDataSet>
      <sheetData sheetId="0"/>
      <sheetData sheetId="1"/>
      <sheetData sheetId="2"/>
      <sheetData sheetId="3">
        <row r="21">
          <cell r="C21">
            <v>1</v>
          </cell>
          <cell r="G21">
            <v>12921.51</v>
          </cell>
          <cell r="H21">
            <v>6461</v>
          </cell>
          <cell r="O21">
            <v>3877</v>
          </cell>
          <cell r="Q21">
            <v>4265</v>
          </cell>
          <cell r="S21">
            <v>3231</v>
          </cell>
        </row>
        <row r="22">
          <cell r="C22">
            <v>5</v>
          </cell>
          <cell r="G22">
            <v>61377.15</v>
          </cell>
          <cell r="L22">
            <v>2456</v>
          </cell>
          <cell r="O22">
            <v>17187</v>
          </cell>
          <cell r="Q22">
            <v>16204</v>
          </cell>
          <cell r="R22">
            <v>3069</v>
          </cell>
          <cell r="S22">
            <v>12276</v>
          </cell>
          <cell r="T22">
            <v>1842</v>
          </cell>
        </row>
        <row r="23">
          <cell r="C23">
            <v>4</v>
          </cell>
          <cell r="G23">
            <v>48129.599999999999</v>
          </cell>
          <cell r="O23">
            <v>12034</v>
          </cell>
          <cell r="Q23">
            <v>3971</v>
          </cell>
          <cell r="R23">
            <v>6017</v>
          </cell>
          <cell r="S23">
            <v>3009</v>
          </cell>
          <cell r="T23">
            <v>5415</v>
          </cell>
        </row>
        <row r="24">
          <cell r="C24">
            <v>5</v>
          </cell>
          <cell r="G24">
            <v>57054</v>
          </cell>
          <cell r="O24">
            <v>13694</v>
          </cell>
          <cell r="Q24">
            <v>3766</v>
          </cell>
          <cell r="R24">
            <v>11411</v>
          </cell>
          <cell r="S24">
            <v>11411</v>
          </cell>
          <cell r="T24">
            <v>1712</v>
          </cell>
        </row>
        <row r="25">
          <cell r="C25">
            <v>5</v>
          </cell>
          <cell r="G25">
            <v>54201.3</v>
          </cell>
          <cell r="O25">
            <v>15178</v>
          </cell>
          <cell r="R25">
            <v>10841</v>
          </cell>
          <cell r="T25">
            <v>8131</v>
          </cell>
        </row>
        <row r="37">
          <cell r="C37">
            <v>858.5</v>
          </cell>
          <cell r="G37">
            <v>8549854.5625</v>
          </cell>
          <cell r="L37">
            <v>18963</v>
          </cell>
          <cell r="M37">
            <v>17684</v>
          </cell>
          <cell r="O37">
            <v>2174112</v>
          </cell>
          <cell r="P37">
            <v>30034</v>
          </cell>
          <cell r="Q37">
            <v>525665</v>
          </cell>
          <cell r="R37">
            <v>1101692</v>
          </cell>
          <cell r="S37">
            <v>429755</v>
          </cell>
          <cell r="T37">
            <v>849435</v>
          </cell>
          <cell r="V37">
            <v>35180</v>
          </cell>
        </row>
        <row r="41">
          <cell r="C41">
            <v>2</v>
          </cell>
          <cell r="G41">
            <v>14550.99</v>
          </cell>
          <cell r="O41">
            <v>4366</v>
          </cell>
          <cell r="S41">
            <v>3639</v>
          </cell>
        </row>
        <row r="293">
          <cell r="O293">
            <v>84233</v>
          </cell>
        </row>
        <row r="380">
          <cell r="I380">
            <v>162739</v>
          </cell>
        </row>
        <row r="382">
          <cell r="AA382">
            <v>10313400</v>
          </cell>
        </row>
        <row r="383">
          <cell r="AA383">
            <v>1189900</v>
          </cell>
        </row>
        <row r="385">
          <cell r="W385">
            <v>89628</v>
          </cell>
        </row>
        <row r="389">
          <cell r="H389">
            <v>12922</v>
          </cell>
          <cell r="K389">
            <v>1939</v>
          </cell>
        </row>
        <row r="390">
          <cell r="C390">
            <v>1</v>
          </cell>
          <cell r="G390">
            <v>12275.43</v>
          </cell>
          <cell r="K390">
            <v>1842</v>
          </cell>
          <cell r="O390">
            <v>3683</v>
          </cell>
          <cell r="Q390">
            <v>4051</v>
          </cell>
          <cell r="S390">
            <v>3069</v>
          </cell>
        </row>
        <row r="391">
          <cell r="K391">
            <v>1142</v>
          </cell>
        </row>
        <row r="403">
          <cell r="C403">
            <v>421.5</v>
          </cell>
          <cell r="G403">
            <v>3987486.3000000003</v>
          </cell>
          <cell r="K403">
            <v>6596</v>
          </cell>
          <cell r="L403">
            <v>2158</v>
          </cell>
          <cell r="M403">
            <v>4770</v>
          </cell>
          <cell r="N403">
            <v>109253</v>
          </cell>
          <cell r="O403">
            <v>636792</v>
          </cell>
          <cell r="P403">
            <v>17872</v>
          </cell>
          <cell r="Q403">
            <v>89892</v>
          </cell>
          <cell r="R403">
            <v>368083</v>
          </cell>
          <cell r="S403">
            <v>69286</v>
          </cell>
          <cell r="T403">
            <v>364866</v>
          </cell>
          <cell r="V403">
            <v>2433</v>
          </cell>
        </row>
        <row r="406">
          <cell r="K406">
            <v>827</v>
          </cell>
        </row>
        <row r="644">
          <cell r="AA644">
            <v>221233.12</v>
          </cell>
        </row>
        <row r="645">
          <cell r="AA645">
            <v>30000</v>
          </cell>
        </row>
        <row r="649">
          <cell r="G649" t="str">
            <v>Ректор НТУ"ХПІ"</v>
          </cell>
          <cell r="S649" t="str">
            <v>Євген СОКОЛ</v>
          </cell>
        </row>
      </sheetData>
      <sheetData sheetId="4">
        <row r="404">
          <cell r="Z404">
            <v>70279</v>
          </cell>
          <cell r="AA404">
            <v>798232</v>
          </cell>
        </row>
      </sheetData>
      <sheetData sheetId="5"/>
      <sheetData sheetId="6"/>
      <sheetData sheetId="7">
        <row r="19">
          <cell r="B19">
            <v>265.5</v>
          </cell>
          <cell r="C19">
            <v>1028140.76</v>
          </cell>
          <cell r="G19">
            <v>7289</v>
          </cell>
          <cell r="H19">
            <v>2585</v>
          </cell>
          <cell r="K19">
            <v>3758</v>
          </cell>
          <cell r="O19">
            <v>3231</v>
          </cell>
          <cell r="Q19">
            <v>25635</v>
          </cell>
          <cell r="S19">
            <v>41700</v>
          </cell>
          <cell r="T19">
            <v>569247.75</v>
          </cell>
        </row>
        <row r="30">
          <cell r="B30">
            <v>205.5</v>
          </cell>
          <cell r="C30">
            <v>621368</v>
          </cell>
          <cell r="Q30">
            <v>17595</v>
          </cell>
          <cell r="S30">
            <v>60240</v>
          </cell>
          <cell r="T30">
            <v>573507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V48"/>
  <sheetViews>
    <sheetView tabSelected="1" view="pageBreakPreview" topLeftCell="A13" zoomScaleNormal="100" zoomScaleSheetLayoutView="100" workbookViewId="0">
      <selection activeCell="U22" sqref="U22"/>
    </sheetView>
  </sheetViews>
  <sheetFormatPr defaultColWidth="9.109375" defaultRowHeight="13.2" x14ac:dyDescent="0.25"/>
  <cols>
    <col min="1" max="1" width="2" style="4" customWidth="1"/>
    <col min="2" max="2" width="21" style="4" customWidth="1"/>
    <col min="3" max="3" width="5.88671875" style="4" customWidth="1"/>
    <col min="4" max="4" width="9.109375" style="4" customWidth="1"/>
    <col min="5" max="5" width="4.77734375" style="4" customWidth="1"/>
    <col min="6" max="6" width="5.6640625" style="4" customWidth="1"/>
    <col min="7" max="7" width="6.33203125" style="4" customWidth="1"/>
    <col min="8" max="8" width="5.5546875" style="4" customWidth="1"/>
    <col min="9" max="9" width="6.88671875" style="4" customWidth="1"/>
    <col min="10" max="10" width="4.44140625" style="4" customWidth="1"/>
    <col min="11" max="11" width="5" style="4" customWidth="1"/>
    <col min="12" max="12" width="5.21875" style="4" customWidth="1"/>
    <col min="13" max="13" width="6.109375" style="4" customWidth="1"/>
    <col min="14" max="14" width="6" style="4" customWidth="1"/>
    <col min="15" max="15" width="5" style="4" customWidth="1"/>
    <col min="16" max="16" width="4.6640625" style="4" customWidth="1"/>
    <col min="17" max="17" width="6.33203125" style="4" customWidth="1"/>
    <col min="18" max="18" width="8.109375" style="4" customWidth="1"/>
    <col min="19" max="19" width="8.77734375" style="4" customWidth="1"/>
    <col min="20" max="20" width="9.5546875" style="4" customWidth="1"/>
    <col min="21" max="21" width="9.77734375" style="4" customWidth="1"/>
    <col min="22" max="16384" width="9.109375" style="4"/>
  </cols>
  <sheetData>
    <row r="1" spans="1:22" ht="15.6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ht="11.4" customHeight="1" x14ac:dyDescent="0.25">
      <c r="B3" s="5" t="s">
        <v>2</v>
      </c>
    </row>
    <row r="4" spans="1:22" ht="12.75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11"/>
      <c r="J4" s="11"/>
      <c r="K4" s="11"/>
      <c r="L4" s="12"/>
      <c r="M4" s="13" t="s">
        <v>8</v>
      </c>
      <c r="N4" s="14"/>
      <c r="O4" s="14"/>
      <c r="P4" s="14"/>
      <c r="Q4" s="15"/>
      <c r="R4" s="16"/>
      <c r="S4" s="17" t="s">
        <v>9</v>
      </c>
      <c r="T4" s="18" t="s">
        <v>10</v>
      </c>
      <c r="U4" s="19" t="s">
        <v>10</v>
      </c>
      <c r="V4" s="20"/>
    </row>
    <row r="5" spans="1:22" ht="12.75" customHeight="1" x14ac:dyDescent="0.25">
      <c r="A5" s="21"/>
      <c r="B5" s="22" t="s">
        <v>11</v>
      </c>
      <c r="C5" s="23"/>
      <c r="D5" s="24"/>
      <c r="E5" s="25" t="s">
        <v>12</v>
      </c>
      <c r="F5" s="24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24" t="s">
        <v>18</v>
      </c>
      <c r="L5" s="9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9" t="s">
        <v>24</v>
      </c>
      <c r="R5" s="26" t="s">
        <v>25</v>
      </c>
      <c r="S5" s="27" t="s">
        <v>26</v>
      </c>
      <c r="T5" s="28" t="s">
        <v>27</v>
      </c>
      <c r="U5" s="29" t="s">
        <v>27</v>
      </c>
      <c r="V5" s="20"/>
    </row>
    <row r="6" spans="1:22" x14ac:dyDescent="0.25">
      <c r="A6" s="21"/>
      <c r="B6" s="30"/>
      <c r="C6" s="23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31"/>
      <c r="S6" s="27" t="s">
        <v>28</v>
      </c>
      <c r="T6" s="28" t="s">
        <v>29</v>
      </c>
      <c r="U6" s="29" t="s">
        <v>29</v>
      </c>
      <c r="V6" s="20"/>
    </row>
    <row r="7" spans="1:22" ht="34.200000000000003" customHeight="1" x14ac:dyDescent="0.25">
      <c r="A7" s="32"/>
      <c r="B7" s="33"/>
      <c r="C7" s="34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7"/>
      <c r="S7" s="38"/>
      <c r="T7" s="39" t="s">
        <v>30</v>
      </c>
      <c r="U7" s="40" t="s">
        <v>31</v>
      </c>
      <c r="V7" s="20"/>
    </row>
    <row r="8" spans="1:22" s="42" customFormat="1" ht="9.6" customHeight="1" x14ac:dyDescent="0.2">
      <c r="A8" s="41">
        <v>1</v>
      </c>
      <c r="B8" s="41">
        <v>2</v>
      </c>
      <c r="C8" s="41">
        <v>3</v>
      </c>
      <c r="D8" s="41">
        <v>5</v>
      </c>
      <c r="E8" s="41"/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</row>
    <row r="9" spans="1:22" ht="12.6" customHeight="1" x14ac:dyDescent="0.25">
      <c r="A9" s="43" t="s">
        <v>32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</row>
    <row r="10" spans="1:22" ht="14.4" customHeight="1" x14ac:dyDescent="0.25">
      <c r="A10" s="46">
        <v>1</v>
      </c>
      <c r="B10" s="47" t="s">
        <v>33</v>
      </c>
      <c r="C10" s="47">
        <f>[1]ХПИ!C21+[1]ХПИ!C22</f>
        <v>6</v>
      </c>
      <c r="D10" s="48">
        <f>[1]ХПИ!G21+[1]ХПИ!G22</f>
        <v>74298.66</v>
      </c>
      <c r="E10" s="49">
        <f>[1]ХПИ!H21</f>
        <v>6461</v>
      </c>
      <c r="F10" s="47">
        <f>[1]ХПИ!L21+[1]ХПИ!L22</f>
        <v>2456</v>
      </c>
      <c r="G10" s="47"/>
      <c r="H10" s="47"/>
      <c r="I10" s="47">
        <f>[1]ХПИ!O21+[1]ХПИ!O22</f>
        <v>21064</v>
      </c>
      <c r="J10" s="47"/>
      <c r="K10" s="47"/>
      <c r="L10" s="47"/>
      <c r="M10" s="47">
        <f>[1]ХПИ!Q21+[1]ХПИ!R21+[1]ХПИ!Q22+[1]ХПИ!R22</f>
        <v>23538</v>
      </c>
      <c r="N10" s="47">
        <f>[1]ХПИ!S21+[1]ХПИ!T21+[1]ХПИ!S22+[1]ХПИ!T22</f>
        <v>17349</v>
      </c>
      <c r="O10" s="47"/>
      <c r="P10" s="47"/>
      <c r="Q10" s="47"/>
      <c r="R10" s="47"/>
      <c r="S10" s="49">
        <f>SUM(E10:R10)</f>
        <v>70868</v>
      </c>
      <c r="T10" s="48">
        <f t="shared" ref="T10:T17" si="0">S10+D10</f>
        <v>145166.66</v>
      </c>
      <c r="U10" s="48">
        <f>T10*12</f>
        <v>1741999.92</v>
      </c>
    </row>
    <row r="11" spans="1:22" ht="14.4" customHeight="1" x14ac:dyDescent="0.25">
      <c r="A11" s="46">
        <v>2</v>
      </c>
      <c r="B11" s="47" t="s">
        <v>34</v>
      </c>
      <c r="C11" s="47">
        <f>[1]ХПИ!C23+[1]ХПИ!C24+[1]ХПИ!C25</f>
        <v>14</v>
      </c>
      <c r="D11" s="48">
        <f>[1]ХПИ!G23+[1]ХПИ!G24+[1]ХПИ!G25</f>
        <v>159384.90000000002</v>
      </c>
      <c r="E11" s="48"/>
      <c r="F11" s="47">
        <v>4690</v>
      </c>
      <c r="G11" s="47"/>
      <c r="H11" s="47"/>
      <c r="I11" s="47">
        <f>[1]ХПИ!O23+[1]ХПИ!O24+[1]ХПИ!O25</f>
        <v>40906</v>
      </c>
      <c r="J11" s="47"/>
      <c r="K11" s="47"/>
      <c r="L11" s="47"/>
      <c r="M11" s="47">
        <f>[1]ХПИ!Q23+[1]ХПИ!Q24+[1]ХПИ!Q25+[1]ХПИ!R23+[1]ХПИ!R24+[1]ХПИ!R25</f>
        <v>36006</v>
      </c>
      <c r="N11" s="47">
        <f>[1]ХПИ!S23+[1]ХПИ!T23+[1]ХПИ!S24+[1]ХПИ!T24+[1]ХПИ!S25+[1]ХПИ!T25</f>
        <v>29678</v>
      </c>
      <c r="O11" s="47"/>
      <c r="P11" s="47"/>
      <c r="Q11" s="47"/>
      <c r="R11" s="47"/>
      <c r="S11" s="49">
        <f t="shared" ref="S11:S17" si="1">SUM(E11:R11)</f>
        <v>111280</v>
      </c>
      <c r="T11" s="48">
        <f t="shared" si="0"/>
        <v>270664.90000000002</v>
      </c>
      <c r="U11" s="48">
        <f t="shared" ref="U11:U17" si="2">T11*12</f>
        <v>3247978.8000000003</v>
      </c>
    </row>
    <row r="12" spans="1:22" ht="14.4" customHeight="1" x14ac:dyDescent="0.25">
      <c r="A12" s="46">
        <v>3</v>
      </c>
      <c r="B12" s="47" t="s">
        <v>35</v>
      </c>
      <c r="C12" s="48">
        <f>[1]ХПИ!C37</f>
        <v>858.5</v>
      </c>
      <c r="D12" s="48">
        <f>[1]ХПИ!G37</f>
        <v>8549854.5625</v>
      </c>
      <c r="E12" s="48"/>
      <c r="F12" s="47">
        <f>[1]ХПИ!L37</f>
        <v>18963</v>
      </c>
      <c r="G12" s="47"/>
      <c r="H12" s="47"/>
      <c r="I12" s="49">
        <f>[1]ХПИ!O37</f>
        <v>2174112</v>
      </c>
      <c r="J12" s="47"/>
      <c r="K12" s="47">
        <f>[1]ХПИ!M37</f>
        <v>17684</v>
      </c>
      <c r="L12" s="47"/>
      <c r="M12" s="49">
        <f>[1]ХПИ!Q37+[1]ХПИ!R37</f>
        <v>1627357</v>
      </c>
      <c r="N12" s="49">
        <f>[1]ХПИ!S37+[1]ХПИ!T37</f>
        <v>1279190</v>
      </c>
      <c r="O12" s="47"/>
      <c r="P12" s="47">
        <f>[1]ХПИ!V37</f>
        <v>35180</v>
      </c>
      <c r="Q12" s="47">
        <f>[1]ХПИ!P37</f>
        <v>30034</v>
      </c>
      <c r="R12" s="47"/>
      <c r="S12" s="48">
        <f t="shared" si="1"/>
        <v>5182520</v>
      </c>
      <c r="T12" s="48">
        <f t="shared" si="0"/>
        <v>13732374.5625</v>
      </c>
      <c r="U12" s="48">
        <f>T12*12-0.03</f>
        <v>164788494.72</v>
      </c>
    </row>
    <row r="13" spans="1:22" ht="14.4" customHeight="1" x14ac:dyDescent="0.25">
      <c r="A13" s="46">
        <v>4</v>
      </c>
      <c r="B13" s="47" t="s">
        <v>36</v>
      </c>
      <c r="C13" s="47">
        <f>[1]ХПИ!C41</f>
        <v>2</v>
      </c>
      <c r="D13" s="48">
        <f>[1]ХПИ!G41</f>
        <v>14550.99</v>
      </c>
      <c r="E13" s="48"/>
      <c r="F13" s="47"/>
      <c r="G13" s="47"/>
      <c r="H13" s="47"/>
      <c r="I13" s="48">
        <f>[1]ХПИ!O41</f>
        <v>4366</v>
      </c>
      <c r="J13" s="47"/>
      <c r="K13" s="47"/>
      <c r="L13" s="47"/>
      <c r="M13" s="48">
        <v>4300</v>
      </c>
      <c r="N13" s="48">
        <f>[1]ХПИ!S41</f>
        <v>3639</v>
      </c>
      <c r="O13" s="47"/>
      <c r="P13" s="47"/>
      <c r="Q13" s="47"/>
      <c r="R13" s="47"/>
      <c r="S13" s="49">
        <f t="shared" si="1"/>
        <v>12305</v>
      </c>
      <c r="T13" s="48">
        <f>S13+D13</f>
        <v>26855.989999999998</v>
      </c>
      <c r="U13" s="48">
        <f t="shared" si="2"/>
        <v>322271.88</v>
      </c>
    </row>
    <row r="14" spans="1:22" ht="14.4" customHeight="1" x14ac:dyDescent="0.25">
      <c r="A14" s="46">
        <v>5</v>
      </c>
      <c r="B14" s="50" t="s">
        <v>37</v>
      </c>
      <c r="C14" s="47">
        <v>189.25</v>
      </c>
      <c r="D14" s="48">
        <v>1189872.1399999999</v>
      </c>
      <c r="E14" s="48"/>
      <c r="F14" s="48"/>
      <c r="G14" s="49">
        <v>237988</v>
      </c>
      <c r="H14" s="48"/>
      <c r="I14" s="49">
        <f>332695+10000-39714</f>
        <v>302981</v>
      </c>
      <c r="J14" s="47"/>
      <c r="K14" s="47"/>
      <c r="L14" s="47"/>
      <c r="M14" s="47">
        <v>1688</v>
      </c>
      <c r="N14" s="47">
        <v>7950</v>
      </c>
      <c r="O14" s="47"/>
      <c r="P14" s="47"/>
      <c r="Q14" s="47"/>
      <c r="R14" s="47"/>
      <c r="S14" s="49">
        <f t="shared" si="1"/>
        <v>550607</v>
      </c>
      <c r="T14" s="48">
        <f t="shared" si="0"/>
        <v>1740479.14</v>
      </c>
      <c r="U14" s="48">
        <f t="shared" si="2"/>
        <v>20885749.68</v>
      </c>
    </row>
    <row r="15" spans="1:22" ht="14.4" customHeight="1" x14ac:dyDescent="0.25">
      <c r="A15" s="46">
        <v>6</v>
      </c>
      <c r="B15" s="50" t="s">
        <v>38</v>
      </c>
      <c r="C15" s="48">
        <v>817.5</v>
      </c>
      <c r="D15" s="48">
        <v>3644676.75</v>
      </c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>
        <v>1273574.25</v>
      </c>
      <c r="S15" s="48">
        <f t="shared" si="1"/>
        <v>1273574.25</v>
      </c>
      <c r="T15" s="48">
        <f t="shared" si="0"/>
        <v>4918251</v>
      </c>
      <c r="U15" s="48">
        <f t="shared" si="2"/>
        <v>59019012</v>
      </c>
    </row>
    <row r="16" spans="1:22" ht="14.4" customHeight="1" x14ac:dyDescent="0.25">
      <c r="A16" s="46">
        <v>7</v>
      </c>
      <c r="B16" s="50" t="s">
        <v>39</v>
      </c>
      <c r="C16" s="48">
        <v>59.25</v>
      </c>
      <c r="D16" s="48">
        <v>325470.75</v>
      </c>
      <c r="E16" s="48"/>
      <c r="F16" s="47">
        <v>1378</v>
      </c>
      <c r="G16" s="47"/>
      <c r="H16" s="49">
        <f>[1]ХПИ!I380</f>
        <v>162739</v>
      </c>
      <c r="I16" s="49">
        <f>[1]ХПИ!O293</f>
        <v>84233</v>
      </c>
      <c r="J16" s="47"/>
      <c r="K16" s="47"/>
      <c r="L16" s="47"/>
      <c r="M16" s="49">
        <v>1723</v>
      </c>
      <c r="N16" s="49">
        <v>1034</v>
      </c>
      <c r="O16" s="47"/>
      <c r="P16" s="47"/>
      <c r="Q16" s="47"/>
      <c r="R16" s="48"/>
      <c r="S16" s="48">
        <f t="shared" si="1"/>
        <v>251107</v>
      </c>
      <c r="T16" s="48">
        <f t="shared" si="0"/>
        <v>576577.75</v>
      </c>
      <c r="U16" s="48">
        <f t="shared" si="2"/>
        <v>6918933</v>
      </c>
    </row>
    <row r="17" spans="1:21" ht="14.4" customHeight="1" x14ac:dyDescent="0.25">
      <c r="A17" s="46">
        <v>8</v>
      </c>
      <c r="B17" s="51" t="s">
        <v>40</v>
      </c>
      <c r="C17" s="47">
        <v>643</v>
      </c>
      <c r="D17" s="48">
        <v>1925511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>
        <v>38994</v>
      </c>
      <c r="P17" s="47"/>
      <c r="Q17" s="49">
        <f>[1]ХПИ!W385</f>
        <v>89628</v>
      </c>
      <c r="R17" s="48">
        <v>1893497</v>
      </c>
      <c r="S17" s="48">
        <f t="shared" si="1"/>
        <v>2022119</v>
      </c>
      <c r="T17" s="48">
        <f t="shared" si="0"/>
        <v>3947630</v>
      </c>
      <c r="U17" s="48">
        <f t="shared" si="2"/>
        <v>47371560</v>
      </c>
    </row>
    <row r="18" spans="1:21" ht="22.2" customHeight="1" x14ac:dyDescent="0.25">
      <c r="A18" s="47"/>
      <c r="B18" s="52" t="s">
        <v>41</v>
      </c>
      <c r="C18" s="48">
        <f>SUM(C10:C17)</f>
        <v>2589.5</v>
      </c>
      <c r="D18" s="48">
        <f t="shared" ref="D18:U18" si="3">SUM(D10:D17)</f>
        <v>15883619.752500001</v>
      </c>
      <c r="E18" s="49">
        <f t="shared" si="3"/>
        <v>6461</v>
      </c>
      <c r="F18" s="49">
        <f t="shared" si="3"/>
        <v>27487</v>
      </c>
      <c r="G18" s="49">
        <f t="shared" si="3"/>
        <v>237988</v>
      </c>
      <c r="H18" s="49">
        <f t="shared" si="3"/>
        <v>162739</v>
      </c>
      <c r="I18" s="53">
        <f t="shared" si="3"/>
        <v>2627662</v>
      </c>
      <c r="J18" s="49">
        <f t="shared" si="3"/>
        <v>0</v>
      </c>
      <c r="K18" s="49">
        <f t="shared" si="3"/>
        <v>17684</v>
      </c>
      <c r="L18" s="49">
        <f t="shared" si="3"/>
        <v>0</v>
      </c>
      <c r="M18" s="49">
        <f t="shared" si="3"/>
        <v>1694612</v>
      </c>
      <c r="N18" s="49">
        <f t="shared" si="3"/>
        <v>1338840</v>
      </c>
      <c r="O18" s="49">
        <f t="shared" si="3"/>
        <v>38994</v>
      </c>
      <c r="P18" s="49">
        <f t="shared" si="3"/>
        <v>35180</v>
      </c>
      <c r="Q18" s="49">
        <f t="shared" si="3"/>
        <v>119662</v>
      </c>
      <c r="R18" s="48">
        <f t="shared" si="3"/>
        <v>3167071.25</v>
      </c>
      <c r="S18" s="48">
        <f t="shared" si="3"/>
        <v>9474380.25</v>
      </c>
      <c r="T18" s="48">
        <f t="shared" si="3"/>
        <v>25358000.002500001</v>
      </c>
      <c r="U18" s="48">
        <f t="shared" si="3"/>
        <v>304296000</v>
      </c>
    </row>
    <row r="19" spans="1:21" ht="14.4" customHeight="1" x14ac:dyDescent="0.25">
      <c r="A19" s="47"/>
      <c r="B19" s="52" t="s">
        <v>42</v>
      </c>
      <c r="C19" s="48"/>
      <c r="D19" s="48"/>
      <c r="E19" s="49"/>
      <c r="F19" s="49"/>
      <c r="G19" s="49"/>
      <c r="H19" s="49"/>
      <c r="I19" s="5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8">
        <f>[1]ХПИ!AA383</f>
        <v>1189900</v>
      </c>
    </row>
    <row r="20" spans="1:21" ht="11.4" customHeight="1" x14ac:dyDescent="0.25">
      <c r="A20" s="47"/>
      <c r="B20" s="54" t="s">
        <v>43</v>
      </c>
      <c r="C20" s="48"/>
      <c r="D20" s="48"/>
      <c r="E20" s="49"/>
      <c r="F20" s="49"/>
      <c r="G20" s="49"/>
      <c r="H20" s="49"/>
      <c r="I20" s="53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8"/>
      <c r="U20" s="48">
        <f>[1]ХПИ!AA382</f>
        <v>10313400</v>
      </c>
    </row>
    <row r="21" spans="1:21" ht="11.4" customHeight="1" x14ac:dyDescent="0.25">
      <c r="A21" s="47"/>
      <c r="B21" s="54" t="s">
        <v>44</v>
      </c>
      <c r="C21" s="48"/>
      <c r="D21" s="48"/>
      <c r="E21" s="49"/>
      <c r="F21" s="49"/>
      <c r="G21" s="49"/>
      <c r="H21" s="49"/>
      <c r="I21" s="53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8"/>
      <c r="U21" s="48">
        <v>2105000</v>
      </c>
    </row>
    <row r="22" spans="1:21" ht="14.4" customHeight="1" x14ac:dyDescent="0.25">
      <c r="A22" s="47"/>
      <c r="B22" s="55" t="s">
        <v>45</v>
      </c>
      <c r="C22" s="56">
        <f t="shared" ref="C22:T22" si="4">C18</f>
        <v>2589.5</v>
      </c>
      <c r="D22" s="56">
        <f t="shared" si="4"/>
        <v>15883619.752500001</v>
      </c>
      <c r="E22" s="57">
        <f t="shared" si="4"/>
        <v>6461</v>
      </c>
      <c r="F22" s="57">
        <f t="shared" si="4"/>
        <v>27487</v>
      </c>
      <c r="G22" s="57">
        <f t="shared" si="4"/>
        <v>237988</v>
      </c>
      <c r="H22" s="57">
        <f t="shared" si="4"/>
        <v>162739</v>
      </c>
      <c r="I22" s="57">
        <f t="shared" si="4"/>
        <v>2627662</v>
      </c>
      <c r="J22" s="57">
        <f t="shared" si="4"/>
        <v>0</v>
      </c>
      <c r="K22" s="57">
        <f t="shared" si="4"/>
        <v>17684</v>
      </c>
      <c r="L22" s="57">
        <f t="shared" si="4"/>
        <v>0</v>
      </c>
      <c r="M22" s="57">
        <f t="shared" si="4"/>
        <v>1694612</v>
      </c>
      <c r="N22" s="57">
        <f t="shared" si="4"/>
        <v>1338840</v>
      </c>
      <c r="O22" s="57">
        <f t="shared" si="4"/>
        <v>38994</v>
      </c>
      <c r="P22" s="57">
        <f t="shared" si="4"/>
        <v>35180</v>
      </c>
      <c r="Q22" s="57">
        <f t="shared" si="4"/>
        <v>119662</v>
      </c>
      <c r="R22" s="56">
        <f t="shared" si="4"/>
        <v>3167071.25</v>
      </c>
      <c r="S22" s="56">
        <f t="shared" si="4"/>
        <v>9474380.25</v>
      </c>
      <c r="T22" s="56">
        <f t="shared" si="4"/>
        <v>25358000.002500001</v>
      </c>
      <c r="U22" s="56">
        <f>U19+U18+U20+U21</f>
        <v>317904300</v>
      </c>
    </row>
    <row r="23" spans="1:21" s="61" customFormat="1" ht="16.2" customHeight="1" x14ac:dyDescent="0.25">
      <c r="A23" s="58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</row>
    <row r="24" spans="1:21" s="61" customFormat="1" ht="13.5" customHeight="1" x14ac:dyDescent="0.25">
      <c r="A24" s="46">
        <v>1</v>
      </c>
      <c r="B24" s="47" t="s">
        <v>33</v>
      </c>
      <c r="C24" s="47">
        <f>[1]ХПИ!C390</f>
        <v>1</v>
      </c>
      <c r="D24" s="48">
        <f>[1]ХПИ!G389+[1]ХПИ!G390</f>
        <v>12275.43</v>
      </c>
      <c r="E24" s="49">
        <f>[1]ХПИ!H389</f>
        <v>12922</v>
      </c>
      <c r="F24" s="47"/>
      <c r="G24" s="47"/>
      <c r="H24" s="47"/>
      <c r="I24" s="47">
        <f>[1]ХПИ!O389+[1]ХПИ!O390</f>
        <v>3683</v>
      </c>
      <c r="J24" s="47">
        <f>[1]ХПИ!K389+[1]ХПИ!K390</f>
        <v>3781</v>
      </c>
      <c r="K24" s="47"/>
      <c r="L24" s="47"/>
      <c r="M24" s="47">
        <f>[1]ХПИ!Q390+[1]ХПИ!R390</f>
        <v>4051</v>
      </c>
      <c r="N24" s="47">
        <f>[1]ХПИ!S390</f>
        <v>3069</v>
      </c>
      <c r="O24" s="47"/>
      <c r="P24" s="47"/>
      <c r="Q24" s="47"/>
      <c r="R24" s="47"/>
      <c r="S24" s="49">
        <f>SUM(E24:R24)</f>
        <v>27506</v>
      </c>
      <c r="T24" s="48">
        <f t="shared" ref="T24:T31" si="5">S24+D24</f>
        <v>39781.43</v>
      </c>
      <c r="U24" s="48">
        <f>T24*12</f>
        <v>477377.16000000003</v>
      </c>
    </row>
    <row r="25" spans="1:21" s="61" customFormat="1" ht="12" customHeight="1" x14ac:dyDescent="0.25">
      <c r="A25" s="46">
        <v>2</v>
      </c>
      <c r="B25" s="47" t="s">
        <v>34</v>
      </c>
      <c r="C25" s="47"/>
      <c r="D25" s="48"/>
      <c r="E25" s="48"/>
      <c r="F25" s="47"/>
      <c r="G25" s="47"/>
      <c r="H25" s="47"/>
      <c r="I25" s="47"/>
      <c r="J25" s="47">
        <f>[1]ХПИ!K391</f>
        <v>1142</v>
      </c>
      <c r="K25" s="47"/>
      <c r="L25" s="47"/>
      <c r="M25" s="47"/>
      <c r="N25" s="47"/>
      <c r="O25" s="47"/>
      <c r="P25" s="47"/>
      <c r="Q25" s="47"/>
      <c r="R25" s="47"/>
      <c r="S25" s="49">
        <f t="shared" ref="S25:S31" si="6">SUM(E25:R25)</f>
        <v>1142</v>
      </c>
      <c r="T25" s="48">
        <f t="shared" si="5"/>
        <v>1142</v>
      </c>
      <c r="U25" s="48">
        <f t="shared" ref="U25:U30" si="7">T25*12</f>
        <v>13704</v>
      </c>
    </row>
    <row r="26" spans="1:21" s="61" customFormat="1" ht="10.5" customHeight="1" x14ac:dyDescent="0.25">
      <c r="A26" s="46">
        <v>3</v>
      </c>
      <c r="B26" s="47" t="s">
        <v>35</v>
      </c>
      <c r="C26" s="48">
        <f>[1]ХПИ!C403</f>
        <v>421.5</v>
      </c>
      <c r="D26" s="48">
        <f>[1]ХПИ!G403</f>
        <v>3987486.3000000003</v>
      </c>
      <c r="E26" s="48"/>
      <c r="F26" s="49">
        <f>[1]ХПИ!L403</f>
        <v>2158</v>
      </c>
      <c r="G26" s="49"/>
      <c r="H26" s="49"/>
      <c r="I26" s="49">
        <f>[1]ХПИ!O403</f>
        <v>636792</v>
      </c>
      <c r="J26" s="49">
        <f>[1]ХПИ!K403</f>
        <v>6596</v>
      </c>
      <c r="K26" s="49">
        <f>[1]ХПИ!M403</f>
        <v>4770</v>
      </c>
      <c r="L26" s="49">
        <f>[1]ХПИ!N403</f>
        <v>109253</v>
      </c>
      <c r="M26" s="49">
        <f>[1]ХПИ!Q403+[1]ХПИ!R403</f>
        <v>457975</v>
      </c>
      <c r="N26" s="49">
        <f>[1]ХПИ!S403+[1]ХПИ!T403</f>
        <v>434152</v>
      </c>
      <c r="O26" s="47"/>
      <c r="P26" s="49">
        <f>[1]ХПИ!V403</f>
        <v>2433</v>
      </c>
      <c r="Q26" s="49">
        <f>[1]ХПИ!P403</f>
        <v>17872</v>
      </c>
      <c r="R26" s="49"/>
      <c r="S26" s="49">
        <f>SUM(E26:R26)</f>
        <v>1672001</v>
      </c>
      <c r="T26" s="48">
        <f t="shared" si="5"/>
        <v>5659487.3000000007</v>
      </c>
      <c r="U26" s="48">
        <f t="shared" si="7"/>
        <v>67913847.600000009</v>
      </c>
    </row>
    <row r="27" spans="1:21" s="61" customFormat="1" ht="10.5" customHeight="1" x14ac:dyDescent="0.25">
      <c r="A27" s="46">
        <v>4</v>
      </c>
      <c r="B27" s="47" t="s">
        <v>36</v>
      </c>
      <c r="C27" s="48">
        <v>1</v>
      </c>
      <c r="D27" s="48">
        <v>10135.41</v>
      </c>
      <c r="E27" s="48"/>
      <c r="F27" s="47"/>
      <c r="G27" s="47"/>
      <c r="H27" s="47"/>
      <c r="I27" s="49">
        <v>3041</v>
      </c>
      <c r="J27" s="49">
        <f>[1]ХПИ!K406</f>
        <v>827</v>
      </c>
      <c r="K27" s="47"/>
      <c r="L27" s="47"/>
      <c r="M27" s="49"/>
      <c r="N27" s="49"/>
      <c r="O27" s="47"/>
      <c r="P27" s="47"/>
      <c r="Q27" s="47"/>
      <c r="R27" s="47"/>
      <c r="S27" s="49">
        <f t="shared" si="6"/>
        <v>3868</v>
      </c>
      <c r="T27" s="48">
        <f>S27+D27-0.41</f>
        <v>14003</v>
      </c>
      <c r="U27" s="48">
        <f>T27*12-13176*4</f>
        <v>115332</v>
      </c>
    </row>
    <row r="28" spans="1:21" s="61" customFormat="1" ht="12" customHeight="1" x14ac:dyDescent="0.25">
      <c r="A28" s="46">
        <v>5</v>
      </c>
      <c r="B28" s="50" t="s">
        <v>37</v>
      </c>
      <c r="C28" s="47">
        <f>28.5+2</f>
        <v>30.5</v>
      </c>
      <c r="D28" s="47">
        <f>135825.25+11792</f>
        <v>147617.25</v>
      </c>
      <c r="E28" s="47"/>
      <c r="F28" s="47"/>
      <c r="G28" s="47">
        <f>27174+2359</f>
        <v>29533</v>
      </c>
      <c r="H28" s="47"/>
      <c r="I28" s="47">
        <f>26625+2670</f>
        <v>29295</v>
      </c>
      <c r="J28" s="47"/>
      <c r="K28" s="47"/>
      <c r="L28" s="47"/>
      <c r="M28" s="47"/>
      <c r="N28" s="47">
        <f>1680+724</f>
        <v>2404</v>
      </c>
      <c r="O28" s="47">
        <v>10458</v>
      </c>
      <c r="P28" s="47"/>
      <c r="Q28" s="47"/>
      <c r="R28" s="48">
        <v>296</v>
      </c>
      <c r="S28" s="49">
        <f t="shared" si="6"/>
        <v>71986</v>
      </c>
      <c r="T28" s="48">
        <f t="shared" si="5"/>
        <v>219603.25</v>
      </c>
      <c r="U28" s="48">
        <f>T28*12-17545*4</f>
        <v>2565059</v>
      </c>
    </row>
    <row r="29" spans="1:21" s="61" customFormat="1" ht="12.75" customHeight="1" x14ac:dyDescent="0.25">
      <c r="A29" s="46">
        <v>6</v>
      </c>
      <c r="B29" s="50" t="s">
        <v>38</v>
      </c>
      <c r="C29" s="47">
        <f>[1]спец.ф!B19+2.5</f>
        <v>268</v>
      </c>
      <c r="D29" s="48">
        <f>[1]спец.ф!C19+11414</f>
        <v>1039554.76</v>
      </c>
      <c r="E29" s="47"/>
      <c r="F29" s="47">
        <f>[1]спец.ф!H19</f>
        <v>2585</v>
      </c>
      <c r="G29" s="47"/>
      <c r="H29" s="47"/>
      <c r="I29" s="47">
        <f>[1]спец.ф!K19</f>
        <v>3758</v>
      </c>
      <c r="J29" s="47">
        <f>[1]спец.ф!G19</f>
        <v>7289</v>
      </c>
      <c r="K29" s="47"/>
      <c r="L29" s="47"/>
      <c r="M29" s="47"/>
      <c r="N29" s="47">
        <f>[1]спец.ф!O19</f>
        <v>3231</v>
      </c>
      <c r="O29" s="47">
        <f>[1]спец.ф!Q19</f>
        <v>25635</v>
      </c>
      <c r="P29" s="47"/>
      <c r="Q29" s="47">
        <f>[1]спец.ф!S19</f>
        <v>41700</v>
      </c>
      <c r="R29" s="48">
        <f>[1]спец.ф!T19+3586</f>
        <v>572833.75</v>
      </c>
      <c r="S29" s="62">
        <f t="shared" si="6"/>
        <v>657031.75</v>
      </c>
      <c r="T29" s="48">
        <f t="shared" si="5"/>
        <v>1696586.51</v>
      </c>
      <c r="U29" s="48">
        <f>T29*12-120000-15000*4</f>
        <v>20179038.120000001</v>
      </c>
    </row>
    <row r="30" spans="1:21" s="61" customFormat="1" ht="12.75" customHeight="1" x14ac:dyDescent="0.25">
      <c r="A30" s="46">
        <v>7</v>
      </c>
      <c r="B30" s="50" t="s">
        <v>39</v>
      </c>
      <c r="C30" s="47">
        <v>4.25</v>
      </c>
      <c r="D30" s="47">
        <v>20851.75</v>
      </c>
      <c r="E30" s="47"/>
      <c r="F30" s="47"/>
      <c r="G30" s="47"/>
      <c r="H30" s="47">
        <v>10427</v>
      </c>
      <c r="I30" s="47">
        <v>10957</v>
      </c>
      <c r="J30" s="47">
        <v>607</v>
      </c>
      <c r="K30" s="47"/>
      <c r="L30" s="47">
        <v>462</v>
      </c>
      <c r="M30" s="47"/>
      <c r="N30" s="47"/>
      <c r="O30" s="47"/>
      <c r="P30" s="47"/>
      <c r="Q30" s="47"/>
      <c r="R30" s="48"/>
      <c r="S30" s="49">
        <f t="shared" si="6"/>
        <v>22453</v>
      </c>
      <c r="T30" s="48">
        <f t="shared" si="5"/>
        <v>43304.75</v>
      </c>
      <c r="U30" s="48">
        <f t="shared" si="7"/>
        <v>519657</v>
      </c>
    </row>
    <row r="31" spans="1:21" s="61" customFormat="1" ht="12" customHeight="1" x14ac:dyDescent="0.25">
      <c r="A31" s="46">
        <v>8</v>
      </c>
      <c r="B31" s="51" t="s">
        <v>40</v>
      </c>
      <c r="C31" s="48">
        <f>[1]спец.ф!B30+0.5</f>
        <v>206</v>
      </c>
      <c r="D31" s="48">
        <f>[1]спец.ф!C30+1455</f>
        <v>622823</v>
      </c>
      <c r="E31" s="48"/>
      <c r="F31" s="47"/>
      <c r="G31" s="47"/>
      <c r="H31" s="47"/>
      <c r="I31" s="47"/>
      <c r="J31" s="47"/>
      <c r="K31" s="47"/>
      <c r="L31" s="47"/>
      <c r="M31" s="47"/>
      <c r="N31" s="47"/>
      <c r="O31" s="47">
        <f>[1]спец.ф!Q30</f>
        <v>17595</v>
      </c>
      <c r="P31" s="47"/>
      <c r="Q31" s="47">
        <f>[1]спец.ф!S30</f>
        <v>60240</v>
      </c>
      <c r="R31" s="48">
        <f>[1]спец.ф!T30+1545</f>
        <v>575052</v>
      </c>
      <c r="S31" s="49">
        <f t="shared" si="6"/>
        <v>652887</v>
      </c>
      <c r="T31" s="48">
        <f t="shared" si="5"/>
        <v>1275710</v>
      </c>
      <c r="U31" s="48">
        <f>T31*12-3000*4</f>
        <v>15296520</v>
      </c>
    </row>
    <row r="32" spans="1:21" s="61" customFormat="1" ht="19.5" customHeight="1" x14ac:dyDescent="0.25">
      <c r="A32" s="47"/>
      <c r="B32" s="52" t="s">
        <v>41</v>
      </c>
      <c r="C32" s="48">
        <f>SUM(C24:C31)</f>
        <v>932.25</v>
      </c>
      <c r="D32" s="48">
        <f t="shared" ref="D32:U32" si="8">SUM(D24:D31)</f>
        <v>5840743.9000000004</v>
      </c>
      <c r="E32" s="49">
        <f t="shared" si="8"/>
        <v>12922</v>
      </c>
      <c r="F32" s="49">
        <f t="shared" si="8"/>
        <v>4743</v>
      </c>
      <c r="G32" s="49">
        <f t="shared" si="8"/>
        <v>29533</v>
      </c>
      <c r="H32" s="49">
        <f t="shared" si="8"/>
        <v>10427</v>
      </c>
      <c r="I32" s="49">
        <f t="shared" si="8"/>
        <v>687526</v>
      </c>
      <c r="J32" s="49">
        <f t="shared" si="8"/>
        <v>20242</v>
      </c>
      <c r="K32" s="49">
        <f t="shared" si="8"/>
        <v>4770</v>
      </c>
      <c r="L32" s="49">
        <f t="shared" si="8"/>
        <v>109715</v>
      </c>
      <c r="M32" s="49">
        <f t="shared" si="8"/>
        <v>462026</v>
      </c>
      <c r="N32" s="49">
        <f t="shared" si="8"/>
        <v>442856</v>
      </c>
      <c r="O32" s="49">
        <f t="shared" si="8"/>
        <v>53688</v>
      </c>
      <c r="P32" s="49">
        <f t="shared" si="8"/>
        <v>2433</v>
      </c>
      <c r="Q32" s="49">
        <f t="shared" si="8"/>
        <v>119812</v>
      </c>
      <c r="R32" s="48">
        <f t="shared" si="8"/>
        <v>1148181.75</v>
      </c>
      <c r="S32" s="62">
        <f t="shared" si="8"/>
        <v>3108874.75</v>
      </c>
      <c r="T32" s="48">
        <f t="shared" si="8"/>
        <v>8949618.2400000002</v>
      </c>
      <c r="U32" s="48">
        <f t="shared" si="8"/>
        <v>107080534.88000001</v>
      </c>
    </row>
    <row r="33" spans="1:21" s="61" customFormat="1" ht="12.6" customHeight="1" x14ac:dyDescent="0.25">
      <c r="A33" s="47"/>
      <c r="B33" s="47" t="s">
        <v>47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>
        <f>[1]штати!Z404</f>
        <v>70279</v>
      </c>
      <c r="U33" s="48">
        <f>[1]штати!AA404</f>
        <v>798232</v>
      </c>
    </row>
    <row r="34" spans="1:21" s="61" customFormat="1" ht="10.8" customHeight="1" x14ac:dyDescent="0.25">
      <c r="A34" s="47"/>
      <c r="B34" s="54" t="s">
        <v>43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8">
        <f>[1]ХПИ!AA644</f>
        <v>221233.12</v>
      </c>
    </row>
    <row r="35" spans="1:21" s="61" customFormat="1" ht="10.8" customHeight="1" x14ac:dyDescent="0.25">
      <c r="A35" s="47"/>
      <c r="B35" s="52" t="s">
        <v>42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8">
        <f>[1]ХПИ!AA645</f>
        <v>30000</v>
      </c>
    </row>
    <row r="36" spans="1:21" s="61" customFormat="1" ht="20.25" customHeight="1" x14ac:dyDescent="0.25">
      <c r="A36" s="47"/>
      <c r="B36" s="55" t="s">
        <v>48</v>
      </c>
      <c r="C36" s="56">
        <f t="shared" ref="C36:T36" si="9">SUM(C32:C33)</f>
        <v>932.25</v>
      </c>
      <c r="D36" s="56">
        <f t="shared" si="9"/>
        <v>5840743.9000000004</v>
      </c>
      <c r="E36" s="57">
        <f t="shared" si="9"/>
        <v>12922</v>
      </c>
      <c r="F36" s="57">
        <f t="shared" si="9"/>
        <v>4743</v>
      </c>
      <c r="G36" s="57">
        <f t="shared" si="9"/>
        <v>29533</v>
      </c>
      <c r="H36" s="57">
        <f t="shared" si="9"/>
        <v>10427</v>
      </c>
      <c r="I36" s="57">
        <f t="shared" si="9"/>
        <v>687526</v>
      </c>
      <c r="J36" s="57">
        <f t="shared" si="9"/>
        <v>20242</v>
      </c>
      <c r="K36" s="57">
        <f t="shared" si="9"/>
        <v>4770</v>
      </c>
      <c r="L36" s="57">
        <f t="shared" si="9"/>
        <v>109715</v>
      </c>
      <c r="M36" s="57">
        <f t="shared" si="9"/>
        <v>462026</v>
      </c>
      <c r="N36" s="57">
        <f t="shared" si="9"/>
        <v>442856</v>
      </c>
      <c r="O36" s="57">
        <f t="shared" si="9"/>
        <v>53688</v>
      </c>
      <c r="P36" s="57">
        <f t="shared" si="9"/>
        <v>2433</v>
      </c>
      <c r="Q36" s="57">
        <f t="shared" si="9"/>
        <v>119812</v>
      </c>
      <c r="R36" s="56">
        <f t="shared" si="9"/>
        <v>1148181.75</v>
      </c>
      <c r="S36" s="56">
        <f t="shared" si="9"/>
        <v>3108874.75</v>
      </c>
      <c r="T36" s="56">
        <f t="shared" si="9"/>
        <v>9019897.2400000002</v>
      </c>
      <c r="U36" s="56">
        <f>U32+U33+U34+U35</f>
        <v>108130000.00000001</v>
      </c>
    </row>
    <row r="37" spans="1:21" s="61" customFormat="1" ht="15.75" customHeight="1" x14ac:dyDescent="0.25">
      <c r="A37" s="63"/>
      <c r="B37" s="64" t="s">
        <v>49</v>
      </c>
      <c r="C37" s="56">
        <f t="shared" ref="C37:U37" si="10">C22+C36</f>
        <v>3521.75</v>
      </c>
      <c r="D37" s="56">
        <f t="shared" si="10"/>
        <v>21724363.652500004</v>
      </c>
      <c r="E37" s="57">
        <f t="shared" si="10"/>
        <v>19383</v>
      </c>
      <c r="F37" s="57">
        <f t="shared" si="10"/>
        <v>32230</v>
      </c>
      <c r="G37" s="57">
        <f t="shared" si="10"/>
        <v>267521</v>
      </c>
      <c r="H37" s="57">
        <f t="shared" si="10"/>
        <v>173166</v>
      </c>
      <c r="I37" s="65">
        <f t="shared" si="10"/>
        <v>3315188</v>
      </c>
      <c r="J37" s="57">
        <f t="shared" si="10"/>
        <v>20242</v>
      </c>
      <c r="K37" s="57">
        <f t="shared" si="10"/>
        <v>22454</v>
      </c>
      <c r="L37" s="57">
        <f t="shared" si="10"/>
        <v>109715</v>
      </c>
      <c r="M37" s="57">
        <f t="shared" si="10"/>
        <v>2156638</v>
      </c>
      <c r="N37" s="57">
        <f t="shared" si="10"/>
        <v>1781696</v>
      </c>
      <c r="O37" s="57">
        <f t="shared" si="10"/>
        <v>92682</v>
      </c>
      <c r="P37" s="57">
        <f t="shared" si="10"/>
        <v>37613</v>
      </c>
      <c r="Q37" s="57">
        <f t="shared" si="10"/>
        <v>239474</v>
      </c>
      <c r="R37" s="56">
        <f t="shared" si="10"/>
        <v>4315253</v>
      </c>
      <c r="S37" s="56">
        <f t="shared" si="10"/>
        <v>12583255</v>
      </c>
      <c r="T37" s="56">
        <f t="shared" si="10"/>
        <v>34377897.2425</v>
      </c>
      <c r="U37" s="56">
        <f t="shared" si="10"/>
        <v>426034300</v>
      </c>
    </row>
    <row r="38" spans="1:21" s="61" customFormat="1" ht="9.75" customHeight="1" x14ac:dyDescent="0.25"/>
    <row r="39" spans="1:21" s="61" customFormat="1" ht="1.5" hidden="1" customHeight="1" x14ac:dyDescent="0.25"/>
    <row r="40" spans="1:21" s="61" customFormat="1" ht="15.6" customHeight="1" x14ac:dyDescent="0.25">
      <c r="B40" s="66" t="str">
        <f>[1]ХПИ!G649</f>
        <v>Ректор НТУ"ХПІ"</v>
      </c>
      <c r="G40" s="66" t="str">
        <f>[1]ХПИ!S649</f>
        <v>Євген СОКОЛ</v>
      </c>
      <c r="L40" s="61" t="s">
        <v>50</v>
      </c>
      <c r="S40" s="61" t="s">
        <v>51</v>
      </c>
    </row>
    <row r="41" spans="1:21" s="61" customFormat="1" ht="15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1" s="61" customFormat="1" x14ac:dyDescent="0.25"/>
    <row r="43" spans="1:21" s="61" customFormat="1" x14ac:dyDescent="0.25"/>
    <row r="44" spans="1:21" s="61" customFormat="1" x14ac:dyDescent="0.25"/>
    <row r="45" spans="1:21" s="61" customFormat="1" x14ac:dyDescent="0.25"/>
    <row r="46" spans="1:21" s="61" customFormat="1" x14ac:dyDescent="0.25"/>
    <row r="47" spans="1:21" s="61" customFormat="1" x14ac:dyDescent="0.25"/>
    <row r="48" spans="1:21" s="61" customFormat="1" x14ac:dyDescent="0.25"/>
  </sheetData>
  <mergeCells count="22">
    <mergeCell ref="O5:O7"/>
    <mergeCell ref="P5:P7"/>
    <mergeCell ref="Q5:Q7"/>
    <mergeCell ref="R5:R7"/>
    <mergeCell ref="A9:U9"/>
    <mergeCell ref="A23:U23"/>
    <mergeCell ref="I5:I7"/>
    <mergeCell ref="J5:J7"/>
    <mergeCell ref="K5:K7"/>
    <mergeCell ref="L5:L7"/>
    <mergeCell ref="M5:M7"/>
    <mergeCell ref="N5:N7"/>
    <mergeCell ref="B1:T1"/>
    <mergeCell ref="A2:T2"/>
    <mergeCell ref="C4:C7"/>
    <mergeCell ref="D4:D7"/>
    <mergeCell ref="E4:K4"/>
    <mergeCell ref="M4:Q4"/>
    <mergeCell ref="E5:E7"/>
    <mergeCell ref="F5:F7"/>
    <mergeCell ref="G5:G7"/>
    <mergeCell ref="H5:H7"/>
  </mergeCells>
  <pageMargins left="0.2" right="0.19" top="0" bottom="0" header="0" footer="0.51181102362204722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</vt:lpstr>
      <vt:lpstr>звед!Заголовки_для_печати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Воликова</dc:creator>
  <cp:lastModifiedBy>Валентина Воликова</cp:lastModifiedBy>
  <dcterms:created xsi:type="dcterms:W3CDTF">2021-02-12T06:55:33Z</dcterms:created>
  <dcterms:modified xsi:type="dcterms:W3CDTF">2021-02-12T06:56:03Z</dcterms:modified>
</cp:coreProperties>
</file>