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20\"/>
    </mc:Choice>
  </mc:AlternateContent>
  <bookViews>
    <workbookView xWindow="0" yWindow="0" windowWidth="23040" windowHeight="9408"/>
  </bookViews>
  <sheets>
    <sheet name="звед" sheetId="1" r:id="rId1"/>
  </sheets>
  <externalReferences>
    <externalReference r:id="rId2"/>
  </externalReferences>
  <definedNames>
    <definedName name="_xlnm.Print_Titles" localSheetId="0">звед!$8:$8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L36" i="1"/>
  <c r="H36" i="1"/>
  <c r="U35" i="1"/>
  <c r="T34" i="1"/>
  <c r="U34" i="1" s="1"/>
  <c r="L33" i="1"/>
  <c r="H33" i="1"/>
  <c r="R32" i="1"/>
  <c r="Q32" i="1"/>
  <c r="S32" i="1" s="1"/>
  <c r="T32" i="1" s="1"/>
  <c r="U32" i="1" s="1"/>
  <c r="O32" i="1"/>
  <c r="D32" i="1"/>
  <c r="C32" i="1"/>
  <c r="S31" i="1"/>
  <c r="T31" i="1" s="1"/>
  <c r="U31" i="1" s="1"/>
  <c r="R30" i="1"/>
  <c r="R33" i="1" s="1"/>
  <c r="R36" i="1" s="1"/>
  <c r="Q30" i="1"/>
  <c r="O30" i="1"/>
  <c r="O33" i="1" s="1"/>
  <c r="O36" i="1" s="1"/>
  <c r="N30" i="1"/>
  <c r="J30" i="1"/>
  <c r="J33" i="1" s="1"/>
  <c r="J36" i="1" s="1"/>
  <c r="I30" i="1"/>
  <c r="F30" i="1"/>
  <c r="S30" i="1" s="1"/>
  <c r="T30" i="1" s="1"/>
  <c r="U30" i="1" s="1"/>
  <c r="D30" i="1"/>
  <c r="C30" i="1"/>
  <c r="N29" i="1"/>
  <c r="N33" i="1" s="1"/>
  <c r="N36" i="1" s="1"/>
  <c r="I29" i="1"/>
  <c r="G29" i="1"/>
  <c r="D29" i="1"/>
  <c r="C29" i="1"/>
  <c r="T28" i="1"/>
  <c r="U28" i="1" s="1"/>
  <c r="S28" i="1"/>
  <c r="Q27" i="1"/>
  <c r="Q33" i="1" s="1"/>
  <c r="Q36" i="1" s="1"/>
  <c r="P27" i="1"/>
  <c r="P33" i="1" s="1"/>
  <c r="P36" i="1" s="1"/>
  <c r="N27" i="1"/>
  <c r="M27" i="1"/>
  <c r="L27" i="1"/>
  <c r="K27" i="1"/>
  <c r="K33" i="1" s="1"/>
  <c r="K36" i="1" s="1"/>
  <c r="J27" i="1"/>
  <c r="I27" i="1"/>
  <c r="S27" i="1" s="1"/>
  <c r="T27" i="1" s="1"/>
  <c r="U27" i="1" s="1"/>
  <c r="F27" i="1"/>
  <c r="D27" i="1"/>
  <c r="C27" i="1"/>
  <c r="U26" i="1"/>
  <c r="S26" i="1"/>
  <c r="T26" i="1" s="1"/>
  <c r="J26" i="1"/>
  <c r="N25" i="1"/>
  <c r="M25" i="1"/>
  <c r="M33" i="1" s="1"/>
  <c r="M36" i="1" s="1"/>
  <c r="J25" i="1"/>
  <c r="I25" i="1"/>
  <c r="I33" i="1" s="1"/>
  <c r="I36" i="1" s="1"/>
  <c r="E25" i="1"/>
  <c r="E33" i="1" s="1"/>
  <c r="E36" i="1" s="1"/>
  <c r="D25" i="1"/>
  <c r="D33" i="1" s="1"/>
  <c r="D36" i="1" s="1"/>
  <c r="C25" i="1"/>
  <c r="U22" i="1"/>
  <c r="O21" i="1"/>
  <c r="O37" i="1" s="1"/>
  <c r="K21" i="1"/>
  <c r="K37" i="1" s="1"/>
  <c r="G21" i="1"/>
  <c r="U20" i="1"/>
  <c r="U19" i="1"/>
  <c r="R18" i="1"/>
  <c r="R21" i="1" s="1"/>
  <c r="P18" i="1"/>
  <c r="P21" i="1" s="1"/>
  <c r="O18" i="1"/>
  <c r="L18" i="1"/>
  <c r="L21" i="1" s="1"/>
  <c r="J18" i="1"/>
  <c r="J21" i="1" s="1"/>
  <c r="G18" i="1"/>
  <c r="F18" i="1"/>
  <c r="F21" i="1" s="1"/>
  <c r="D18" i="1"/>
  <c r="D21" i="1" s="1"/>
  <c r="U17" i="1"/>
  <c r="S17" i="1"/>
  <c r="T17" i="1" s="1"/>
  <c r="Q17" i="1"/>
  <c r="I16" i="1"/>
  <c r="H16" i="1"/>
  <c r="H18" i="1" s="1"/>
  <c r="H21" i="1" s="1"/>
  <c r="T15" i="1"/>
  <c r="U15" i="1" s="1"/>
  <c r="S15" i="1"/>
  <c r="S14" i="1"/>
  <c r="T14" i="1" s="1"/>
  <c r="U14" i="1" s="1"/>
  <c r="N13" i="1"/>
  <c r="M13" i="1"/>
  <c r="I13" i="1"/>
  <c r="S13" i="1" s="1"/>
  <c r="T13" i="1" s="1"/>
  <c r="U13" i="1" s="1"/>
  <c r="D13" i="1"/>
  <c r="C13" i="1"/>
  <c r="U12" i="1"/>
  <c r="T12" i="1"/>
  <c r="Q12" i="1"/>
  <c r="Q18" i="1" s="1"/>
  <c r="Q21" i="1" s="1"/>
  <c r="P12" i="1"/>
  <c r="N12" i="1"/>
  <c r="M12" i="1"/>
  <c r="K12" i="1"/>
  <c r="K18" i="1" s="1"/>
  <c r="I12" i="1"/>
  <c r="F12" i="1"/>
  <c r="S12" i="1" s="1"/>
  <c r="D12" i="1"/>
  <c r="C12" i="1"/>
  <c r="T11" i="1"/>
  <c r="U11" i="1" s="1"/>
  <c r="N11" i="1"/>
  <c r="M11" i="1"/>
  <c r="I11" i="1"/>
  <c r="S11" i="1" s="1"/>
  <c r="D11" i="1"/>
  <c r="C11" i="1"/>
  <c r="N10" i="1"/>
  <c r="N18" i="1" s="1"/>
  <c r="N21" i="1" s="1"/>
  <c r="M10" i="1"/>
  <c r="M18" i="1" s="1"/>
  <c r="M21" i="1" s="1"/>
  <c r="I10" i="1"/>
  <c r="F10" i="1"/>
  <c r="E10" i="1"/>
  <c r="D10" i="1"/>
  <c r="C10" i="1"/>
  <c r="M37" i="1" l="1"/>
  <c r="M23" i="1"/>
  <c r="Q37" i="1"/>
  <c r="Q23" i="1"/>
  <c r="N37" i="1"/>
  <c r="N23" i="1"/>
  <c r="H37" i="1"/>
  <c r="H23" i="1"/>
  <c r="S16" i="1"/>
  <c r="T16" i="1" s="1"/>
  <c r="U16" i="1" s="1"/>
  <c r="F23" i="1"/>
  <c r="L37" i="1"/>
  <c r="L23" i="1"/>
  <c r="R37" i="1"/>
  <c r="R23" i="1"/>
  <c r="S25" i="1"/>
  <c r="G33" i="1"/>
  <c r="G36" i="1" s="1"/>
  <c r="G37" i="1" s="1"/>
  <c r="S29" i="1"/>
  <c r="T29" i="1" s="1"/>
  <c r="U29" i="1" s="1"/>
  <c r="F33" i="1"/>
  <c r="F36" i="1" s="1"/>
  <c r="F37" i="1" s="1"/>
  <c r="C18" i="1"/>
  <c r="C21" i="1" s="1"/>
  <c r="E18" i="1"/>
  <c r="E21" i="1" s="1"/>
  <c r="S10" i="1"/>
  <c r="I18" i="1"/>
  <c r="I21" i="1" s="1"/>
  <c r="D37" i="1"/>
  <c r="D23" i="1"/>
  <c r="J37" i="1"/>
  <c r="J23" i="1"/>
  <c r="P37" i="1"/>
  <c r="P23" i="1"/>
  <c r="G23" i="1"/>
  <c r="K23" i="1"/>
  <c r="O23" i="1"/>
  <c r="C33" i="1"/>
  <c r="C36" i="1" s="1"/>
  <c r="S18" i="1" l="1"/>
  <c r="S21" i="1" s="1"/>
  <c r="T10" i="1"/>
  <c r="C37" i="1"/>
  <c r="C23" i="1"/>
  <c r="S33" i="1"/>
  <c r="S36" i="1" s="1"/>
  <c r="T25" i="1"/>
  <c r="I37" i="1"/>
  <c r="I23" i="1"/>
  <c r="E37" i="1"/>
  <c r="E23" i="1"/>
  <c r="T33" i="1" l="1"/>
  <c r="T36" i="1" s="1"/>
  <c r="U25" i="1"/>
  <c r="U33" i="1" s="1"/>
  <c r="U36" i="1" s="1"/>
  <c r="U10" i="1"/>
  <c r="U18" i="1" s="1"/>
  <c r="U21" i="1" s="1"/>
  <c r="T18" i="1"/>
  <c r="T21" i="1" s="1"/>
  <c r="S37" i="1"/>
  <c r="S23" i="1"/>
  <c r="T37" i="1" l="1"/>
  <c r="T23" i="1"/>
  <c r="U37" i="1"/>
  <c r="U23" i="1"/>
</calcChain>
</file>

<file path=xl/sharedStrings.xml><?xml version="1.0" encoding="utf-8"?>
<sst xmlns="http://schemas.openxmlformats.org/spreadsheetml/2006/main" count="67" uniqueCount="54">
  <si>
    <t>Зведений штатний розпис на  2020 рік</t>
  </si>
  <si>
    <t>Н а ц і о н а л ь н и й    т е х н і ч н и й    у н і в е р с и т е т   "ХПІ"</t>
  </si>
  <si>
    <t>з 01.09.2020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</si>
  <si>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</si>
  <si>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</si>
  <si>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</si>
  <si>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</si>
  <si>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</si>
  <si>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</si>
  <si>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</si>
  <si>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</si>
  <si>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</si>
  <si>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</si>
  <si>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</si>
  <si>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</si>
  <si>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</si>
  <si>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</si>
  <si>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</si>
  <si>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</si>
  <si>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</si>
  <si>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</si>
  <si>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</si>
  <si>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</si>
  <si>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</si>
  <si>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</si>
  <si>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Доплата до 5000 грн.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</si>
  <si>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</si>
  <si>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</si>
  <si>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</si>
  <si>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</si>
  <si>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</si>
  <si>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2020 РІК</t>
  </si>
  <si>
    <t>Загальний фонд</t>
  </si>
  <si>
    <t>АУП (ректор, проректори)</t>
  </si>
  <si>
    <t>АУП (директор,декани)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</si>
  <si>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</si>
  <si>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</si>
  <si>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</si>
  <si>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</si>
  <si>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</si>
  <si>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</si>
  <si>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</si>
  <si>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Щорічна винагорода пед.прац.</t>
  </si>
  <si>
    <t>ФЗП січень- серпень</t>
  </si>
  <si>
    <t>Разом по загальному фонду</t>
  </si>
  <si>
    <t>Стимулюючі виплати за показниками діяльності відповідно до формули розподілу фінансування</t>
  </si>
  <si>
    <t>ВСЬОГО ПО ЗАГАЛЬНОМУ ФОНДУ</t>
  </si>
  <si>
    <t>Спеціальний фонд</t>
  </si>
  <si>
    <t>Погодинний фонд</t>
  </si>
  <si>
    <t>Разом по cпеціальному фонду</t>
  </si>
  <si>
    <t>Разом по ВУЗу</t>
  </si>
  <si>
    <t>Руслан МИГУЩЕНКО</t>
  </si>
  <si>
    <t>Начальник ПФВ</t>
  </si>
  <si>
    <t>Ніна ГОРБАТЕНКО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</si>
</sst>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b/>
      <sz val="7"/>
      <name val="Arial Cyr"/>
      <charset val="204"/>
    </font>
    <font>
      <sz val="5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3" fillId="0" borderId="11" xfId="0" applyNumberFormat="1" applyFont="1" applyFill="1" applyBorder="1"/>
    <xf numFmtId="1" fontId="13" fillId="0" borderId="11" xfId="0" applyNumberFormat="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0" fontId="15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" fillId="0" borderId="0" xfId="0" applyFont="1" applyFill="1"/>
    <xf numFmtId="164" fontId="13" fillId="0" borderId="11" xfId="0" applyNumberFormat="1" applyFont="1" applyFill="1" applyBorder="1"/>
    <xf numFmtId="0" fontId="1" fillId="0" borderId="11" xfId="0" applyFont="1" applyFill="1" applyBorder="1"/>
    <xf numFmtId="0" fontId="5" fillId="0" borderId="11" xfId="0" applyFont="1" applyFill="1" applyBorder="1"/>
    <xf numFmtId="164" fontId="15" fillId="0" borderId="11" xfId="0" applyNumberFormat="1" applyFont="1" applyFill="1" applyBorder="1" applyAlignment="1">
      <alignment horizont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0;%20&#1089;%2001.09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9 хпи"/>
      <sheetName val="якіс хпи"/>
      <sheetName val="якісн"/>
      <sheetName val="ХПИ"/>
      <sheetName val="штати"/>
      <sheetName val="увп"/>
      <sheetName val="посади"/>
      <sheetName val="заг.ф"/>
      <sheetName val="спец.ф"/>
      <sheetName val="Лист3"/>
      <sheetName val="ос"/>
      <sheetName val="радник"/>
      <sheetName val="цздн"/>
      <sheetName val="Лист1"/>
      <sheetName val="Лист2"/>
      <sheetName val="Лист4"/>
    </sheetNames>
    <sheetDataSet>
      <sheetData sheetId="0"/>
      <sheetData sheetId="1"/>
      <sheetData sheetId="2"/>
      <sheetData sheetId="3"/>
      <sheetData sheetId="4">
        <row r="21">
          <cell r="C21">
            <v>1</v>
          </cell>
          <cell r="G21">
            <v>10768.11</v>
          </cell>
          <cell r="H21">
            <v>5385</v>
          </cell>
          <cell r="O21">
            <v>3231</v>
          </cell>
          <cell r="Q21">
            <v>3554</v>
          </cell>
          <cell r="S21">
            <v>2693</v>
          </cell>
        </row>
        <row r="22">
          <cell r="C22">
            <v>5</v>
          </cell>
          <cell r="G22">
            <v>51148.5</v>
          </cell>
          <cell r="L22">
            <v>2046</v>
          </cell>
          <cell r="O22">
            <v>14322</v>
          </cell>
          <cell r="Q22">
            <v>13504</v>
          </cell>
          <cell r="R22">
            <v>2558</v>
          </cell>
          <cell r="S22">
            <v>10230</v>
          </cell>
          <cell r="T22">
            <v>1535</v>
          </cell>
        </row>
        <row r="23">
          <cell r="C23">
            <v>4</v>
          </cell>
          <cell r="G23">
            <v>40110.959999999999</v>
          </cell>
          <cell r="O23">
            <v>10028</v>
          </cell>
          <cell r="Q23">
            <v>3310</v>
          </cell>
          <cell r="R23">
            <v>5014</v>
          </cell>
          <cell r="S23">
            <v>2507</v>
          </cell>
          <cell r="T23">
            <v>4513</v>
          </cell>
        </row>
        <row r="24">
          <cell r="C24">
            <v>5</v>
          </cell>
          <cell r="G24">
            <v>47541.3</v>
          </cell>
          <cell r="O24">
            <v>11410</v>
          </cell>
          <cell r="Q24">
            <v>3138</v>
          </cell>
          <cell r="R24">
            <v>9509</v>
          </cell>
          <cell r="S24">
            <v>9509</v>
          </cell>
          <cell r="T24">
            <v>1427</v>
          </cell>
        </row>
        <row r="25">
          <cell r="C25">
            <v>5</v>
          </cell>
          <cell r="G25">
            <v>45164.25</v>
          </cell>
          <cell r="O25">
            <v>12647</v>
          </cell>
          <cell r="R25">
            <v>9033</v>
          </cell>
          <cell r="T25">
            <v>6775</v>
          </cell>
        </row>
        <row r="37">
          <cell r="C37">
            <v>849.9</v>
          </cell>
          <cell r="G37">
            <v>7052238.2324999999</v>
          </cell>
          <cell r="L37">
            <v>10097</v>
          </cell>
          <cell r="M37">
            <v>14737</v>
          </cell>
          <cell r="O37">
            <v>1800575</v>
          </cell>
          <cell r="P37">
            <v>25031</v>
          </cell>
          <cell r="Q37">
            <v>423201</v>
          </cell>
          <cell r="R37">
            <v>911623</v>
          </cell>
          <cell r="S37">
            <v>346879</v>
          </cell>
          <cell r="T37">
            <v>703481</v>
          </cell>
          <cell r="V37">
            <v>29319</v>
          </cell>
          <cell r="AA37">
            <v>45268724.920000002</v>
          </cell>
        </row>
        <row r="40">
          <cell r="G40">
            <v>5235.87</v>
          </cell>
          <cell r="O40">
            <v>1571</v>
          </cell>
          <cell r="R40">
            <v>1309</v>
          </cell>
          <cell r="S40">
            <v>1309</v>
          </cell>
        </row>
        <row r="292">
          <cell r="O292">
            <v>74133</v>
          </cell>
        </row>
        <row r="382">
          <cell r="I382">
            <v>123549</v>
          </cell>
        </row>
        <row r="384">
          <cell r="AA384">
            <v>166801400</v>
          </cell>
        </row>
        <row r="385">
          <cell r="AA385">
            <v>937700</v>
          </cell>
        </row>
        <row r="386">
          <cell r="W386">
            <v>65960</v>
          </cell>
        </row>
        <row r="392">
          <cell r="H392">
            <v>10769</v>
          </cell>
          <cell r="K392">
            <v>1616</v>
          </cell>
        </row>
        <row r="393">
          <cell r="C393">
            <v>2</v>
          </cell>
          <cell r="G393">
            <v>20459.400000000001</v>
          </cell>
          <cell r="K393">
            <v>1535</v>
          </cell>
          <cell r="O393">
            <v>4092</v>
          </cell>
          <cell r="Q393">
            <v>3376</v>
          </cell>
          <cell r="R393">
            <v>2558</v>
          </cell>
          <cell r="S393">
            <v>5115</v>
          </cell>
        </row>
        <row r="394">
          <cell r="K394">
            <v>951</v>
          </cell>
        </row>
        <row r="407">
          <cell r="C407">
            <v>500.75</v>
          </cell>
          <cell r="G407">
            <v>3845490.7400000007</v>
          </cell>
          <cell r="K407">
            <v>5496</v>
          </cell>
          <cell r="L407">
            <v>1798</v>
          </cell>
          <cell r="M407">
            <v>3975</v>
          </cell>
          <cell r="N407">
            <v>92316</v>
          </cell>
          <cell r="O407">
            <v>738364</v>
          </cell>
          <cell r="P407">
            <v>14895</v>
          </cell>
          <cell r="Q407">
            <v>74909</v>
          </cell>
          <cell r="R407">
            <v>316270</v>
          </cell>
          <cell r="S407">
            <v>57737</v>
          </cell>
          <cell r="T407">
            <v>315330</v>
          </cell>
          <cell r="V407">
            <v>2028</v>
          </cell>
        </row>
        <row r="684">
          <cell r="AA684">
            <v>65232115</v>
          </cell>
        </row>
        <row r="688">
          <cell r="G688" t="str">
            <v>В.О.Ректора НТУ"ХПІ"</v>
          </cell>
        </row>
      </sheetData>
      <sheetData sheetId="5">
        <row r="40">
          <cell r="C40">
            <v>1</v>
          </cell>
        </row>
        <row r="387">
          <cell r="AA387">
            <v>3722184</v>
          </cell>
        </row>
      </sheetData>
      <sheetData sheetId="6"/>
      <sheetData sheetId="7"/>
      <sheetData sheetId="8"/>
      <sheetData sheetId="9">
        <row r="19">
          <cell r="B19">
            <v>306.5</v>
          </cell>
          <cell r="C19">
            <v>997477.86</v>
          </cell>
          <cell r="G19">
            <v>6078</v>
          </cell>
          <cell r="H19">
            <v>2154</v>
          </cell>
          <cell r="K19">
            <v>3131</v>
          </cell>
          <cell r="O19">
            <v>2693</v>
          </cell>
          <cell r="Q19">
            <v>21569</v>
          </cell>
          <cell r="S19">
            <v>35801</v>
          </cell>
          <cell r="T19">
            <v>563655.25</v>
          </cell>
        </row>
        <row r="30">
          <cell r="B30">
            <v>293</v>
          </cell>
          <cell r="C30">
            <v>735837</v>
          </cell>
          <cell r="Q30">
            <v>15831</v>
          </cell>
          <cell r="S30">
            <v>68135</v>
          </cell>
          <cell r="T30">
            <v>670668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8"/>
  <sheetViews>
    <sheetView tabSelected="1" view="pageBreakPreview" topLeftCell="A16" zoomScaleNormal="100" zoomScaleSheetLayoutView="100" workbookViewId="0">
      <selection activeCell="B22" sqref="B22"/>
    </sheetView>
  </sheetViews>
  <sheetFormatPr defaultColWidth="9.109375" defaultRowHeight="13.2" x14ac:dyDescent="0.25"/>
  <cols>
    <col min="1" max="1" width="2" style="4" customWidth="1"/>
    <col min="2" max="2" width="21" style="4" customWidth="1"/>
    <col min="3" max="3" width="5.88671875" style="4" customWidth="1"/>
    <col min="4" max="4" width="9.109375" style="4" customWidth="1"/>
    <col min="5" max="5" width="4.77734375" style="4" customWidth="1"/>
    <col min="6" max="6" width="5.6640625" style="4" customWidth="1"/>
    <col min="7" max="7" width="6.33203125" style="4" customWidth="1"/>
    <col min="8" max="8" width="5.5546875" style="4" customWidth="1"/>
    <col min="9" max="9" width="6.88671875" style="4" customWidth="1"/>
    <col min="10" max="10" width="4.44140625" style="4" customWidth="1"/>
    <col min="11" max="11" width="5" style="4" customWidth="1"/>
    <col min="12" max="12" width="5.21875" style="4" customWidth="1"/>
    <col min="13" max="13" width="6.109375" style="4" customWidth="1"/>
    <col min="14" max="14" width="6" style="4" customWidth="1"/>
    <col min="15" max="15" width="5" style="4" customWidth="1"/>
    <col min="16" max="16" width="4.6640625" style="4" customWidth="1"/>
    <col min="17" max="17" width="6.33203125" style="4" customWidth="1"/>
    <col min="18" max="18" width="8.109375" style="4" customWidth="1"/>
    <col min="19" max="19" width="8.77734375" style="4" customWidth="1"/>
    <col min="20" max="20" width="9.5546875" style="4" customWidth="1"/>
    <col min="21" max="21" width="9.77734375" style="4" customWidth="1"/>
    <col min="22" max="16384" width="9.109375" style="4"/>
  </cols>
  <sheetData>
    <row r="1" spans="1:22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1.4" customHeight="1" x14ac:dyDescent="0.25">
      <c r="B3" s="5" t="s">
        <v>2</v>
      </c>
    </row>
    <row r="4" spans="1:22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/>
      <c r="S4" s="17" t="s">
        <v>9</v>
      </c>
      <c r="T4" s="18" t="s">
        <v>10</v>
      </c>
      <c r="U4" s="19" t="s">
        <v>10</v>
      </c>
      <c r="V4" s="20"/>
    </row>
    <row r="5" spans="1:22" ht="12.75" customHeight="1" x14ac:dyDescent="0.25">
      <c r="A5" s="21"/>
      <c r="B5" s="22" t="s">
        <v>11</v>
      </c>
      <c r="C5" s="23"/>
      <c r="D5" s="24"/>
      <c r="E5" s="25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6" t="s">
        <v>25</v>
      </c>
      <c r="S5" s="27" t="s">
        <v>26</v>
      </c>
      <c r="T5" s="28" t="s">
        <v>27</v>
      </c>
      <c r="U5" s="29" t="s">
        <v>27</v>
      </c>
      <c r="V5" s="20"/>
    </row>
    <row r="6" spans="1:22" x14ac:dyDescent="0.25">
      <c r="A6" s="21"/>
      <c r="B6" s="30"/>
      <c r="C6" s="23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31"/>
      <c r="S6" s="27" t="s">
        <v>28</v>
      </c>
      <c r="T6" s="28" t="s">
        <v>29</v>
      </c>
      <c r="U6" s="29" t="s">
        <v>29</v>
      </c>
      <c r="V6" s="20"/>
    </row>
    <row r="7" spans="1:22" ht="34.200000000000003" customHeight="1" x14ac:dyDescent="0.25">
      <c r="A7" s="32"/>
      <c r="B7" s="33"/>
      <c r="C7" s="34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38"/>
      <c r="T7" s="39" t="s">
        <v>30</v>
      </c>
      <c r="U7" s="40" t="s">
        <v>31</v>
      </c>
      <c r="V7" s="20"/>
    </row>
    <row r="8" spans="1:22" s="42" customFormat="1" ht="9.6" customHeight="1" x14ac:dyDescent="0.2">
      <c r="A8" s="41">
        <v>1</v>
      </c>
      <c r="B8" s="41">
        <v>2</v>
      </c>
      <c r="C8" s="41">
        <v>3</v>
      </c>
      <c r="D8" s="41">
        <v>5</v>
      </c>
      <c r="E8" s="41"/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</row>
    <row r="9" spans="1:22" ht="12.6" customHeight="1" x14ac:dyDescent="0.25">
      <c r="A9" s="43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2" ht="14.4" customHeight="1" x14ac:dyDescent="0.25">
      <c r="A10" s="46">
        <v>1</v>
      </c>
      <c r="B10" s="47" t="s">
        <v>33</v>
      </c>
      <c r="C10" s="47">
        <f>[1]ХПИ!C21+[1]ХПИ!C22</f>
        <v>6</v>
      </c>
      <c r="D10" s="48">
        <f>[1]ХПИ!G21+[1]ХПИ!G22</f>
        <v>61916.61</v>
      </c>
      <c r="E10" s="49">
        <f>[1]ХПИ!H21</f>
        <v>5385</v>
      </c>
      <c r="F10" s="47">
        <f>[1]ХПИ!L21+[1]ХПИ!L22</f>
        <v>2046</v>
      </c>
      <c r="G10" s="47"/>
      <c r="H10" s="47"/>
      <c r="I10" s="47">
        <f>[1]ХПИ!O21+[1]ХПИ!O22</f>
        <v>17553</v>
      </c>
      <c r="J10" s="47"/>
      <c r="K10" s="47"/>
      <c r="L10" s="47"/>
      <c r="M10" s="47">
        <f>[1]ХПИ!Q21+[1]ХПИ!R21+[1]ХПИ!Q22+[1]ХПИ!R22</f>
        <v>19616</v>
      </c>
      <c r="N10" s="47">
        <f>[1]ХПИ!S21+[1]ХПИ!T21+[1]ХПИ!S22+[1]ХПИ!T22</f>
        <v>14458</v>
      </c>
      <c r="O10" s="47"/>
      <c r="P10" s="47"/>
      <c r="Q10" s="47"/>
      <c r="R10" s="47"/>
      <c r="S10" s="49">
        <f>SUM(E10:R10)</f>
        <v>59058</v>
      </c>
      <c r="T10" s="48">
        <f t="shared" ref="T10:T17" si="0">S10+D10</f>
        <v>120974.61</v>
      </c>
      <c r="U10" s="48">
        <f>T10*4</f>
        <v>483898.44</v>
      </c>
    </row>
    <row r="11" spans="1:22" ht="14.4" customHeight="1" x14ac:dyDescent="0.25">
      <c r="A11" s="46">
        <v>2</v>
      </c>
      <c r="B11" s="47" t="s">
        <v>34</v>
      </c>
      <c r="C11" s="47">
        <f>[1]ХПИ!C23+[1]ХПИ!C24+[1]ХПИ!C25</f>
        <v>14</v>
      </c>
      <c r="D11" s="48">
        <f>[1]ХПИ!G23+[1]ХПИ!G24+[1]ХПИ!G25</f>
        <v>132816.51</v>
      </c>
      <c r="E11" s="48"/>
      <c r="F11" s="47"/>
      <c r="G11" s="47"/>
      <c r="H11" s="47"/>
      <c r="I11" s="47">
        <f>[1]ХПИ!O23+[1]ХПИ!O24+[1]ХПИ!O25</f>
        <v>34085</v>
      </c>
      <c r="J11" s="47"/>
      <c r="K11" s="47"/>
      <c r="L11" s="47"/>
      <c r="M11" s="47">
        <f>[1]ХПИ!Q23+[1]ХПИ!Q24+[1]ХПИ!Q25+[1]ХПИ!R23+[1]ХПИ!R24+[1]ХПИ!R25</f>
        <v>30004</v>
      </c>
      <c r="N11" s="47">
        <f>[1]ХПИ!S23+[1]ХПИ!T23+[1]ХПИ!S24+[1]ХПИ!T24+[1]ХПИ!S25+[1]ХПИ!T25</f>
        <v>24731</v>
      </c>
      <c r="O11" s="47"/>
      <c r="P11" s="47"/>
      <c r="Q11" s="47"/>
      <c r="R11" s="47"/>
      <c r="S11" s="49">
        <f t="shared" ref="S11:S17" si="1">SUM(E11:R11)</f>
        <v>88820</v>
      </c>
      <c r="T11" s="48">
        <f t="shared" si="0"/>
        <v>221636.51</v>
      </c>
      <c r="U11" s="48">
        <f t="shared" ref="U11:U17" si="2">T11*4</f>
        <v>886546.04</v>
      </c>
    </row>
    <row r="12" spans="1:22" ht="14.4" customHeight="1" x14ac:dyDescent="0.25">
      <c r="A12" s="46">
        <v>3</v>
      </c>
      <c r="B12" s="47" t="s">
        <v>35</v>
      </c>
      <c r="C12" s="48">
        <f>[1]ХПИ!C37</f>
        <v>849.9</v>
      </c>
      <c r="D12" s="48">
        <f>[1]ХПИ!G37</f>
        <v>7052238.2324999999</v>
      </c>
      <c r="E12" s="48"/>
      <c r="F12" s="47">
        <f>[1]ХПИ!L37</f>
        <v>10097</v>
      </c>
      <c r="G12" s="47"/>
      <c r="H12" s="47"/>
      <c r="I12" s="49">
        <f>[1]ХПИ!O37</f>
        <v>1800575</v>
      </c>
      <c r="J12" s="47"/>
      <c r="K12" s="47">
        <f>[1]ХПИ!M37</f>
        <v>14737</v>
      </c>
      <c r="L12" s="47"/>
      <c r="M12" s="49">
        <f>[1]ХПИ!Q37+[1]ХПИ!R37</f>
        <v>1334824</v>
      </c>
      <c r="N12" s="49">
        <f>[1]ХПИ!S37+[1]ХПИ!T37</f>
        <v>1050360</v>
      </c>
      <c r="O12" s="47"/>
      <c r="P12" s="47">
        <f>[1]ХПИ!V37</f>
        <v>29319</v>
      </c>
      <c r="Q12" s="47">
        <f>[1]ХПИ!P37</f>
        <v>25031</v>
      </c>
      <c r="R12" s="47"/>
      <c r="S12" s="48">
        <f t="shared" si="1"/>
        <v>4264943</v>
      </c>
      <c r="T12" s="48">
        <f t="shared" si="0"/>
        <v>11317181.2325</v>
      </c>
      <c r="U12" s="48">
        <f>[1]ХПИ!AA37</f>
        <v>45268724.920000002</v>
      </c>
    </row>
    <row r="13" spans="1:22" ht="14.4" customHeight="1" x14ac:dyDescent="0.25">
      <c r="A13" s="46">
        <v>4</v>
      </c>
      <c r="B13" s="47" t="s">
        <v>36</v>
      </c>
      <c r="C13" s="47">
        <f>[1]штати!C40</f>
        <v>1</v>
      </c>
      <c r="D13" s="48">
        <f>[1]ХПИ!G40</f>
        <v>5235.87</v>
      </c>
      <c r="E13" s="48"/>
      <c r="F13" s="47"/>
      <c r="G13" s="47"/>
      <c r="H13" s="47"/>
      <c r="I13" s="48">
        <f>[1]ХПИ!O40</f>
        <v>1571</v>
      </c>
      <c r="J13" s="47"/>
      <c r="K13" s="47"/>
      <c r="L13" s="47"/>
      <c r="M13" s="48">
        <f>[1]ХПИ!R40</f>
        <v>1309</v>
      </c>
      <c r="N13" s="48">
        <f>[1]ХПИ!S40</f>
        <v>1309</v>
      </c>
      <c r="O13" s="47"/>
      <c r="P13" s="47"/>
      <c r="Q13" s="47"/>
      <c r="R13" s="47"/>
      <c r="S13" s="49">
        <f t="shared" si="1"/>
        <v>4189</v>
      </c>
      <c r="T13" s="48">
        <f>S13+D13</f>
        <v>9424.869999999999</v>
      </c>
      <c r="U13" s="48">
        <f t="shared" si="2"/>
        <v>37699.479999999996</v>
      </c>
    </row>
    <row r="14" spans="1:22" ht="14.4" customHeight="1" x14ac:dyDescent="0.25">
      <c r="A14" s="46">
        <v>5</v>
      </c>
      <c r="B14" s="50" t="s">
        <v>37</v>
      </c>
      <c r="C14" s="47">
        <v>190.5</v>
      </c>
      <c r="D14" s="48">
        <v>994169.28</v>
      </c>
      <c r="E14" s="48"/>
      <c r="F14" s="48"/>
      <c r="G14" s="49">
        <v>197266</v>
      </c>
      <c r="H14" s="48"/>
      <c r="I14" s="49">
        <v>276736</v>
      </c>
      <c r="J14" s="47"/>
      <c r="K14" s="47"/>
      <c r="L14" s="47"/>
      <c r="M14" s="47">
        <v>1407</v>
      </c>
      <c r="N14" s="47">
        <v>6626</v>
      </c>
      <c r="O14" s="47"/>
      <c r="P14" s="47"/>
      <c r="Q14" s="47"/>
      <c r="R14" s="47">
        <v>2102</v>
      </c>
      <c r="S14" s="49">
        <f t="shared" si="1"/>
        <v>484137</v>
      </c>
      <c r="T14" s="48">
        <f t="shared" si="0"/>
        <v>1478306.28</v>
      </c>
      <c r="U14" s="48">
        <f t="shared" si="2"/>
        <v>5913225.1200000001</v>
      </c>
    </row>
    <row r="15" spans="1:22" ht="14.4" customHeight="1" x14ac:dyDescent="0.25">
      <c r="A15" s="46">
        <v>6</v>
      </c>
      <c r="B15" s="50" t="s">
        <v>38</v>
      </c>
      <c r="C15" s="48">
        <v>851</v>
      </c>
      <c r="D15" s="48">
        <v>3156849.5</v>
      </c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v>1109195.5</v>
      </c>
      <c r="S15" s="48">
        <f t="shared" si="1"/>
        <v>1109195.5</v>
      </c>
      <c r="T15" s="48">
        <f t="shared" si="0"/>
        <v>4266045</v>
      </c>
      <c r="U15" s="48">
        <f t="shared" si="2"/>
        <v>17064180</v>
      </c>
    </row>
    <row r="16" spans="1:22" ht="14.4" customHeight="1" x14ac:dyDescent="0.25">
      <c r="A16" s="46">
        <v>7</v>
      </c>
      <c r="B16" s="50" t="s">
        <v>39</v>
      </c>
      <c r="C16" s="48">
        <v>53.5</v>
      </c>
      <c r="D16" s="48">
        <v>247091.5</v>
      </c>
      <c r="E16" s="48"/>
      <c r="F16" s="47"/>
      <c r="G16" s="47"/>
      <c r="H16" s="49">
        <f>[1]ХПИ!I382</f>
        <v>123549</v>
      </c>
      <c r="I16" s="49">
        <f>[1]ХПИ!O292</f>
        <v>74133</v>
      </c>
      <c r="J16" s="47"/>
      <c r="K16" s="47"/>
      <c r="L16" s="47"/>
      <c r="M16" s="49">
        <v>1436</v>
      </c>
      <c r="N16" s="49">
        <v>862</v>
      </c>
      <c r="O16" s="47"/>
      <c r="P16" s="47"/>
      <c r="Q16" s="47"/>
      <c r="R16" s="48"/>
      <c r="S16" s="48">
        <f t="shared" si="1"/>
        <v>199980</v>
      </c>
      <c r="T16" s="48">
        <f t="shared" si="0"/>
        <v>447071.5</v>
      </c>
      <c r="U16" s="48">
        <f t="shared" si="2"/>
        <v>1788286</v>
      </c>
    </row>
    <row r="17" spans="1:21" ht="14.4" customHeight="1" x14ac:dyDescent="0.25">
      <c r="A17" s="46">
        <v>8</v>
      </c>
      <c r="B17" s="51" t="s">
        <v>40</v>
      </c>
      <c r="C17" s="47">
        <v>615</v>
      </c>
      <c r="D17" s="48">
        <v>1534508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>
        <v>32496</v>
      </c>
      <c r="P17" s="47"/>
      <c r="Q17" s="49">
        <f>[1]ХПИ!W386</f>
        <v>65960</v>
      </c>
      <c r="R17" s="48">
        <v>1507996</v>
      </c>
      <c r="S17" s="48">
        <f t="shared" si="1"/>
        <v>1606452</v>
      </c>
      <c r="T17" s="48">
        <f t="shared" si="0"/>
        <v>3140960</v>
      </c>
      <c r="U17" s="48">
        <f t="shared" si="2"/>
        <v>12563840</v>
      </c>
    </row>
    <row r="18" spans="1:21" ht="22.2" customHeight="1" x14ac:dyDescent="0.25">
      <c r="A18" s="47"/>
      <c r="B18" s="52" t="s">
        <v>41</v>
      </c>
      <c r="C18" s="48">
        <f>SUM(C10:C17)</f>
        <v>2580.9</v>
      </c>
      <c r="D18" s="48">
        <f t="shared" ref="D18:U18" si="3">SUM(D10:D17)</f>
        <v>13184825.502500001</v>
      </c>
      <c r="E18" s="49">
        <f t="shared" si="3"/>
        <v>5385</v>
      </c>
      <c r="F18" s="49">
        <f t="shared" si="3"/>
        <v>12143</v>
      </c>
      <c r="G18" s="49">
        <f t="shared" si="3"/>
        <v>197266</v>
      </c>
      <c r="H18" s="49">
        <f t="shared" si="3"/>
        <v>123549</v>
      </c>
      <c r="I18" s="53">
        <f t="shared" si="3"/>
        <v>2204653</v>
      </c>
      <c r="J18" s="49">
        <f t="shared" si="3"/>
        <v>0</v>
      </c>
      <c r="K18" s="49">
        <f t="shared" si="3"/>
        <v>14737</v>
      </c>
      <c r="L18" s="49">
        <f t="shared" si="3"/>
        <v>0</v>
      </c>
      <c r="M18" s="49">
        <f t="shared" si="3"/>
        <v>1388596</v>
      </c>
      <c r="N18" s="49">
        <f t="shared" si="3"/>
        <v>1098346</v>
      </c>
      <c r="O18" s="49">
        <f t="shared" si="3"/>
        <v>32496</v>
      </c>
      <c r="P18" s="49">
        <f t="shared" si="3"/>
        <v>29319</v>
      </c>
      <c r="Q18" s="49">
        <f t="shared" si="3"/>
        <v>90991</v>
      </c>
      <c r="R18" s="48">
        <f t="shared" si="3"/>
        <v>2619293.5</v>
      </c>
      <c r="S18" s="48">
        <f t="shared" si="3"/>
        <v>7816774.5</v>
      </c>
      <c r="T18" s="48">
        <f t="shared" si="3"/>
        <v>21001600.002499998</v>
      </c>
      <c r="U18" s="48">
        <f t="shared" si="3"/>
        <v>84006400</v>
      </c>
    </row>
    <row r="19" spans="1:21" ht="14.4" customHeight="1" x14ac:dyDescent="0.25">
      <c r="A19" s="47"/>
      <c r="B19" s="52" t="s">
        <v>42</v>
      </c>
      <c r="C19" s="48"/>
      <c r="D19" s="48"/>
      <c r="E19" s="49"/>
      <c r="F19" s="49"/>
      <c r="G19" s="49"/>
      <c r="H19" s="49"/>
      <c r="I19" s="5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8">
        <f>[1]ХПИ!AA385</f>
        <v>937700</v>
      </c>
    </row>
    <row r="20" spans="1:21" ht="11.4" customHeight="1" x14ac:dyDescent="0.25">
      <c r="A20" s="47"/>
      <c r="B20" s="54" t="s">
        <v>43</v>
      </c>
      <c r="C20" s="48"/>
      <c r="D20" s="48"/>
      <c r="E20" s="49"/>
      <c r="F20" s="49"/>
      <c r="G20" s="49"/>
      <c r="H20" s="49"/>
      <c r="I20" s="53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>
        <f>[1]ХПИ!AA384</f>
        <v>166801400</v>
      </c>
    </row>
    <row r="21" spans="1:21" ht="14.4" customHeight="1" x14ac:dyDescent="0.25">
      <c r="A21" s="47"/>
      <c r="B21" s="55" t="s">
        <v>44</v>
      </c>
      <c r="C21" s="56">
        <f t="shared" ref="C21:T21" si="4">C18</f>
        <v>2580.9</v>
      </c>
      <c r="D21" s="56">
        <f t="shared" si="4"/>
        <v>13184825.502500001</v>
      </c>
      <c r="E21" s="57">
        <f t="shared" si="4"/>
        <v>5385</v>
      </c>
      <c r="F21" s="57">
        <f t="shared" si="4"/>
        <v>12143</v>
      </c>
      <c r="G21" s="57">
        <f t="shared" si="4"/>
        <v>197266</v>
      </c>
      <c r="H21" s="57">
        <f t="shared" si="4"/>
        <v>123549</v>
      </c>
      <c r="I21" s="57">
        <f t="shared" si="4"/>
        <v>2204653</v>
      </c>
      <c r="J21" s="57">
        <f t="shared" si="4"/>
        <v>0</v>
      </c>
      <c r="K21" s="57">
        <f t="shared" si="4"/>
        <v>14737</v>
      </c>
      <c r="L21" s="57">
        <f t="shared" si="4"/>
        <v>0</v>
      </c>
      <c r="M21" s="57">
        <f t="shared" si="4"/>
        <v>1388596</v>
      </c>
      <c r="N21" s="57">
        <f t="shared" si="4"/>
        <v>1098346</v>
      </c>
      <c r="O21" s="57">
        <f t="shared" si="4"/>
        <v>32496</v>
      </c>
      <c r="P21" s="57">
        <f t="shared" si="4"/>
        <v>29319</v>
      </c>
      <c r="Q21" s="57">
        <f t="shared" si="4"/>
        <v>90991</v>
      </c>
      <c r="R21" s="56">
        <f t="shared" si="4"/>
        <v>2619293.5</v>
      </c>
      <c r="S21" s="56">
        <f t="shared" si="4"/>
        <v>7816774.5</v>
      </c>
      <c r="T21" s="56">
        <f t="shared" si="4"/>
        <v>21001600.002499998</v>
      </c>
      <c r="U21" s="56">
        <f>U19+U18+U20</f>
        <v>251745500</v>
      </c>
    </row>
    <row r="22" spans="1:21" ht="22.2" customHeight="1" x14ac:dyDescent="0.25">
      <c r="A22" s="47"/>
      <c r="B22" s="58" t="s">
        <v>45</v>
      </c>
      <c r="C22" s="56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6"/>
      <c r="S22" s="56"/>
      <c r="T22" s="56"/>
      <c r="U22" s="56">
        <f>[1]штати!AA387</f>
        <v>3722184</v>
      </c>
    </row>
    <row r="23" spans="1:21" ht="22.2" customHeight="1" x14ac:dyDescent="0.25">
      <c r="A23" s="47"/>
      <c r="B23" s="59" t="s">
        <v>46</v>
      </c>
      <c r="C23" s="56">
        <f t="shared" ref="C23:U23" si="5">SUM(C21:C22)</f>
        <v>2580.9</v>
      </c>
      <c r="D23" s="56">
        <f t="shared" si="5"/>
        <v>13184825.502500001</v>
      </c>
      <c r="E23" s="57">
        <f t="shared" si="5"/>
        <v>5385</v>
      </c>
      <c r="F23" s="57">
        <f t="shared" si="5"/>
        <v>12143</v>
      </c>
      <c r="G23" s="57">
        <f t="shared" si="5"/>
        <v>197266</v>
      </c>
      <c r="H23" s="57">
        <f t="shared" si="5"/>
        <v>123549</v>
      </c>
      <c r="I23" s="57">
        <f t="shared" si="5"/>
        <v>2204653</v>
      </c>
      <c r="J23" s="57">
        <f t="shared" si="5"/>
        <v>0</v>
      </c>
      <c r="K23" s="57">
        <f t="shared" si="5"/>
        <v>14737</v>
      </c>
      <c r="L23" s="57">
        <f t="shared" si="5"/>
        <v>0</v>
      </c>
      <c r="M23" s="57">
        <f t="shared" si="5"/>
        <v>1388596</v>
      </c>
      <c r="N23" s="57">
        <f t="shared" si="5"/>
        <v>1098346</v>
      </c>
      <c r="O23" s="57">
        <f t="shared" si="5"/>
        <v>32496</v>
      </c>
      <c r="P23" s="57">
        <f t="shared" si="5"/>
        <v>29319</v>
      </c>
      <c r="Q23" s="57">
        <f t="shared" si="5"/>
        <v>90991</v>
      </c>
      <c r="R23" s="57">
        <f t="shared" si="5"/>
        <v>2619293.5</v>
      </c>
      <c r="S23" s="56">
        <f t="shared" si="5"/>
        <v>7816774.5</v>
      </c>
      <c r="T23" s="56">
        <f t="shared" si="5"/>
        <v>21001600.002499998</v>
      </c>
      <c r="U23" s="56">
        <f t="shared" si="5"/>
        <v>255467684</v>
      </c>
    </row>
    <row r="24" spans="1:21" s="63" customFormat="1" ht="16.2" customHeight="1" x14ac:dyDescent="0.25">
      <c r="A24" s="60" t="s">
        <v>47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s="63" customFormat="1" ht="13.5" customHeight="1" x14ac:dyDescent="0.25">
      <c r="A25" s="46">
        <v>1</v>
      </c>
      <c r="B25" s="47" t="s">
        <v>33</v>
      </c>
      <c r="C25" s="47">
        <f>[1]ХПИ!C393</f>
        <v>2</v>
      </c>
      <c r="D25" s="48">
        <f>[1]ХПИ!G392+[1]ХПИ!G393</f>
        <v>20459.400000000001</v>
      </c>
      <c r="E25" s="49">
        <f>[1]ХПИ!H392</f>
        <v>10769</v>
      </c>
      <c r="F25" s="47"/>
      <c r="G25" s="47"/>
      <c r="H25" s="47"/>
      <c r="I25" s="47">
        <f>[1]ХПИ!O392+[1]ХПИ!O393</f>
        <v>4092</v>
      </c>
      <c r="J25" s="47">
        <f>[1]ХПИ!K392+[1]ХПИ!K393</f>
        <v>3151</v>
      </c>
      <c r="K25" s="47"/>
      <c r="L25" s="47"/>
      <c r="M25" s="47">
        <f>[1]ХПИ!Q393+[1]ХПИ!R393</f>
        <v>5934</v>
      </c>
      <c r="N25" s="47">
        <f>[1]ХПИ!S393</f>
        <v>5115</v>
      </c>
      <c r="O25" s="47"/>
      <c r="P25" s="47"/>
      <c r="Q25" s="47"/>
      <c r="R25" s="47"/>
      <c r="S25" s="49">
        <f>SUM(E25:R25)</f>
        <v>29061</v>
      </c>
      <c r="T25" s="48">
        <f t="shared" ref="T25:T32" si="6">S25+D25</f>
        <v>49520.4</v>
      </c>
      <c r="U25" s="48">
        <f>T25*4</f>
        <v>198081.6</v>
      </c>
    </row>
    <row r="26" spans="1:21" s="63" customFormat="1" ht="12" customHeight="1" x14ac:dyDescent="0.25">
      <c r="A26" s="46">
        <v>2</v>
      </c>
      <c r="B26" s="47" t="s">
        <v>34</v>
      </c>
      <c r="C26" s="47"/>
      <c r="D26" s="48"/>
      <c r="E26" s="48"/>
      <c r="F26" s="47"/>
      <c r="G26" s="47"/>
      <c r="H26" s="47"/>
      <c r="I26" s="47"/>
      <c r="J26" s="47">
        <f>[1]ХПИ!K394</f>
        <v>951</v>
      </c>
      <c r="K26" s="47"/>
      <c r="L26" s="47"/>
      <c r="M26" s="47"/>
      <c r="N26" s="47"/>
      <c r="O26" s="47"/>
      <c r="P26" s="47"/>
      <c r="Q26" s="47"/>
      <c r="R26" s="47"/>
      <c r="S26" s="49">
        <f t="shared" ref="S26:S32" si="7">SUM(E26:R26)</f>
        <v>951</v>
      </c>
      <c r="T26" s="48">
        <f t="shared" si="6"/>
        <v>951</v>
      </c>
      <c r="U26" s="48">
        <f t="shared" ref="U26:U32" si="8">T26*4</f>
        <v>3804</v>
      </c>
    </row>
    <row r="27" spans="1:21" s="63" customFormat="1" ht="10.5" customHeight="1" x14ac:dyDescent="0.25">
      <c r="A27" s="46">
        <v>3</v>
      </c>
      <c r="B27" s="47" t="s">
        <v>35</v>
      </c>
      <c r="C27" s="48">
        <f>[1]ХПИ!C407</f>
        <v>500.75</v>
      </c>
      <c r="D27" s="48">
        <f>[1]ХПИ!G407</f>
        <v>3845490.7400000007</v>
      </c>
      <c r="E27" s="48"/>
      <c r="F27" s="49">
        <f>[1]ХПИ!L407</f>
        <v>1798</v>
      </c>
      <c r="G27" s="49"/>
      <c r="H27" s="49"/>
      <c r="I27" s="49">
        <f>[1]ХПИ!O407</f>
        <v>738364</v>
      </c>
      <c r="J27" s="49">
        <f>[1]ХПИ!K407</f>
        <v>5496</v>
      </c>
      <c r="K27" s="49">
        <f>[1]ХПИ!M407</f>
        <v>3975</v>
      </c>
      <c r="L27" s="49">
        <f>[1]ХПИ!N407</f>
        <v>92316</v>
      </c>
      <c r="M27" s="49">
        <f>[1]ХПИ!Q407+[1]ХПИ!R407</f>
        <v>391179</v>
      </c>
      <c r="N27" s="49">
        <f>[1]ХПИ!S407+[1]ХПИ!T407</f>
        <v>373067</v>
      </c>
      <c r="O27" s="47"/>
      <c r="P27" s="49">
        <f>[1]ХПИ!V407</f>
        <v>2028</v>
      </c>
      <c r="Q27" s="49">
        <f>[1]ХПИ!P407</f>
        <v>14895</v>
      </c>
      <c r="R27" s="49"/>
      <c r="S27" s="49">
        <f>SUM(E27:R27)</f>
        <v>1623118</v>
      </c>
      <c r="T27" s="48">
        <f t="shared" si="6"/>
        <v>5468608.7400000002</v>
      </c>
      <c r="U27" s="48">
        <f t="shared" si="8"/>
        <v>21874434.960000001</v>
      </c>
    </row>
    <row r="28" spans="1:21" s="63" customFormat="1" ht="10.5" customHeight="1" x14ac:dyDescent="0.25">
      <c r="A28" s="46">
        <v>4</v>
      </c>
      <c r="B28" s="47" t="s">
        <v>36</v>
      </c>
      <c r="C28" s="48">
        <v>1</v>
      </c>
      <c r="D28" s="48">
        <v>8447.1</v>
      </c>
      <c r="E28" s="48"/>
      <c r="F28" s="47"/>
      <c r="G28" s="47"/>
      <c r="H28" s="47"/>
      <c r="I28" s="49">
        <v>2535</v>
      </c>
      <c r="J28" s="47"/>
      <c r="K28" s="47"/>
      <c r="L28" s="47"/>
      <c r="M28" s="49"/>
      <c r="N28" s="49"/>
      <c r="O28" s="47"/>
      <c r="P28" s="47"/>
      <c r="Q28" s="47"/>
      <c r="R28" s="47"/>
      <c r="S28" s="49">
        <f t="shared" si="7"/>
        <v>2535</v>
      </c>
      <c r="T28" s="48">
        <f t="shared" si="6"/>
        <v>10982.1</v>
      </c>
      <c r="U28" s="48">
        <f t="shared" si="8"/>
        <v>43928.4</v>
      </c>
    </row>
    <row r="29" spans="1:21" s="63" customFormat="1" ht="12" customHeight="1" x14ac:dyDescent="0.25">
      <c r="A29" s="46">
        <v>5</v>
      </c>
      <c r="B29" s="50" t="s">
        <v>37</v>
      </c>
      <c r="C29" s="47">
        <f>30.5+3</f>
        <v>33.5</v>
      </c>
      <c r="D29" s="47">
        <f>123202.75+14831.3</f>
        <v>138034.04999999999</v>
      </c>
      <c r="E29" s="47"/>
      <c r="F29" s="47"/>
      <c r="G29" s="47">
        <f>24646+2968</f>
        <v>27614</v>
      </c>
      <c r="H29" s="47"/>
      <c r="I29" s="47">
        <f>36004+3487</f>
        <v>39491</v>
      </c>
      <c r="J29" s="47"/>
      <c r="K29" s="47"/>
      <c r="L29" s="47"/>
      <c r="M29" s="47"/>
      <c r="N29" s="47">
        <f>1400+724</f>
        <v>2124</v>
      </c>
      <c r="O29" s="47">
        <v>8716</v>
      </c>
      <c r="P29" s="47"/>
      <c r="Q29" s="47"/>
      <c r="R29" s="48"/>
      <c r="S29" s="49">
        <f t="shared" si="7"/>
        <v>77945</v>
      </c>
      <c r="T29" s="48">
        <f t="shared" si="6"/>
        <v>215979.05</v>
      </c>
      <c r="U29" s="48">
        <f t="shared" si="8"/>
        <v>863916.2</v>
      </c>
    </row>
    <row r="30" spans="1:21" s="63" customFormat="1" ht="12.75" customHeight="1" x14ac:dyDescent="0.25">
      <c r="A30" s="46">
        <v>6</v>
      </c>
      <c r="B30" s="50" t="s">
        <v>38</v>
      </c>
      <c r="C30" s="47">
        <f>[1]спец.ф!B19+2.5</f>
        <v>309</v>
      </c>
      <c r="D30" s="48">
        <f>[1]спец.ф!C19+9512</f>
        <v>1006989.86</v>
      </c>
      <c r="E30" s="47"/>
      <c r="F30" s="47">
        <f>[1]спец.ф!H19</f>
        <v>2154</v>
      </c>
      <c r="G30" s="47"/>
      <c r="H30" s="47"/>
      <c r="I30" s="47">
        <f>[1]спец.ф!K19</f>
        <v>3131</v>
      </c>
      <c r="J30" s="47">
        <f>[1]спец.ф!G19</f>
        <v>6078</v>
      </c>
      <c r="K30" s="47"/>
      <c r="L30" s="47"/>
      <c r="M30" s="47"/>
      <c r="N30" s="47">
        <f>[1]спец.ф!O19</f>
        <v>2693</v>
      </c>
      <c r="O30" s="47">
        <f>[1]спец.ф!Q19</f>
        <v>21569</v>
      </c>
      <c r="P30" s="47"/>
      <c r="Q30" s="47">
        <f>[1]спец.ф!S19</f>
        <v>35801</v>
      </c>
      <c r="R30" s="48">
        <f>[1]спец.ф!T19+2988</f>
        <v>566643.25</v>
      </c>
      <c r="S30" s="64">
        <f t="shared" si="7"/>
        <v>638069.25</v>
      </c>
      <c r="T30" s="48">
        <f t="shared" si="6"/>
        <v>1645059.1099999999</v>
      </c>
      <c r="U30" s="48">
        <f t="shared" si="8"/>
        <v>6580236.4399999995</v>
      </c>
    </row>
    <row r="31" spans="1:21" s="63" customFormat="1" ht="12.75" customHeight="1" x14ac:dyDescent="0.25">
      <c r="A31" s="46">
        <v>7</v>
      </c>
      <c r="B31" s="50" t="s">
        <v>39</v>
      </c>
      <c r="C31" s="47">
        <v>16</v>
      </c>
      <c r="D31" s="47">
        <v>65993</v>
      </c>
      <c r="E31" s="47"/>
      <c r="F31" s="47"/>
      <c r="G31" s="47"/>
      <c r="H31" s="47">
        <v>32999</v>
      </c>
      <c r="I31" s="47">
        <v>14038</v>
      </c>
      <c r="J31" s="47">
        <v>506</v>
      </c>
      <c r="K31" s="47"/>
      <c r="L31" s="47">
        <v>385</v>
      </c>
      <c r="M31" s="47"/>
      <c r="N31" s="47"/>
      <c r="O31" s="47"/>
      <c r="P31" s="47"/>
      <c r="Q31" s="47"/>
      <c r="R31" s="48"/>
      <c r="S31" s="49">
        <f t="shared" si="7"/>
        <v>47928</v>
      </c>
      <c r="T31" s="48">
        <f t="shared" si="6"/>
        <v>113921</v>
      </c>
      <c r="U31" s="48">
        <f t="shared" si="8"/>
        <v>455684</v>
      </c>
    </row>
    <row r="32" spans="1:21" s="63" customFormat="1" ht="12" customHeight="1" x14ac:dyDescent="0.25">
      <c r="A32" s="46">
        <v>8</v>
      </c>
      <c r="B32" s="51" t="s">
        <v>40</v>
      </c>
      <c r="C32" s="48">
        <f>[1]спец.ф!B30+1</f>
        <v>294</v>
      </c>
      <c r="D32" s="48">
        <f>[1]спец.ф!C30+2425</f>
        <v>738262</v>
      </c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>
        <f>[1]спец.ф!Q30</f>
        <v>15831</v>
      </c>
      <c r="P32" s="47"/>
      <c r="Q32" s="47">
        <f>[1]спец.ф!S30</f>
        <v>68135</v>
      </c>
      <c r="R32" s="48">
        <f>[1]спец.ф!T30+2575</f>
        <v>673243</v>
      </c>
      <c r="S32" s="49">
        <f t="shared" si="7"/>
        <v>757209</v>
      </c>
      <c r="T32" s="48">
        <f t="shared" si="6"/>
        <v>1495471</v>
      </c>
      <c r="U32" s="48">
        <f t="shared" si="8"/>
        <v>5981884</v>
      </c>
    </row>
    <row r="33" spans="1:21" s="63" customFormat="1" ht="19.5" customHeight="1" x14ac:dyDescent="0.25">
      <c r="A33" s="47"/>
      <c r="B33" s="52" t="s">
        <v>41</v>
      </c>
      <c r="C33" s="48">
        <f>SUM(C25:C32)</f>
        <v>1156.25</v>
      </c>
      <c r="D33" s="48">
        <f t="shared" ref="D33:U33" si="9">SUM(D25:D32)</f>
        <v>5823676.1500000004</v>
      </c>
      <c r="E33" s="49">
        <f t="shared" si="9"/>
        <v>10769</v>
      </c>
      <c r="F33" s="49">
        <f t="shared" si="9"/>
        <v>3952</v>
      </c>
      <c r="G33" s="49">
        <f t="shared" si="9"/>
        <v>27614</v>
      </c>
      <c r="H33" s="49">
        <f t="shared" si="9"/>
        <v>32999</v>
      </c>
      <c r="I33" s="49">
        <f t="shared" si="9"/>
        <v>801651</v>
      </c>
      <c r="J33" s="49">
        <f t="shared" si="9"/>
        <v>16182</v>
      </c>
      <c r="K33" s="49">
        <f t="shared" si="9"/>
        <v>3975</v>
      </c>
      <c r="L33" s="49">
        <f t="shared" si="9"/>
        <v>92701</v>
      </c>
      <c r="M33" s="49">
        <f t="shared" si="9"/>
        <v>397113</v>
      </c>
      <c r="N33" s="49">
        <f t="shared" si="9"/>
        <v>382999</v>
      </c>
      <c r="O33" s="49">
        <f t="shared" si="9"/>
        <v>46116</v>
      </c>
      <c r="P33" s="49">
        <f t="shared" si="9"/>
        <v>2028</v>
      </c>
      <c r="Q33" s="49">
        <f t="shared" si="9"/>
        <v>118831</v>
      </c>
      <c r="R33" s="48">
        <f t="shared" si="9"/>
        <v>1239886.25</v>
      </c>
      <c r="S33" s="64">
        <f t="shared" si="9"/>
        <v>3176816.25</v>
      </c>
      <c r="T33" s="48">
        <f t="shared" si="9"/>
        <v>9000492.4000000004</v>
      </c>
      <c r="U33" s="48">
        <f t="shared" si="9"/>
        <v>36001969.600000001</v>
      </c>
    </row>
    <row r="34" spans="1:21" s="63" customFormat="1" ht="12.6" customHeight="1" x14ac:dyDescent="0.25">
      <c r="A34" s="47"/>
      <c r="B34" s="47" t="s">
        <v>48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>
        <f>130000+97007.6</f>
        <v>227007.6</v>
      </c>
      <c r="U34" s="48">
        <f>T34*4</f>
        <v>908030.4</v>
      </c>
    </row>
    <row r="35" spans="1:21" s="63" customFormat="1" ht="15" customHeight="1" x14ac:dyDescent="0.25">
      <c r="A35" s="47"/>
      <c r="B35" s="54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8">
        <f>[1]ХПИ!AA684+1180000</f>
        <v>66412115</v>
      </c>
    </row>
    <row r="36" spans="1:21" s="63" customFormat="1" ht="20.25" customHeight="1" x14ac:dyDescent="0.25">
      <c r="A36" s="47"/>
      <c r="B36" s="55" t="s">
        <v>49</v>
      </c>
      <c r="C36" s="56">
        <f t="shared" ref="C36:T36" si="10">SUM(C33:C34)</f>
        <v>1156.25</v>
      </c>
      <c r="D36" s="56">
        <f t="shared" si="10"/>
        <v>5823676.1500000004</v>
      </c>
      <c r="E36" s="57">
        <f t="shared" si="10"/>
        <v>10769</v>
      </c>
      <c r="F36" s="57">
        <f t="shared" si="10"/>
        <v>3952</v>
      </c>
      <c r="G36" s="57">
        <f t="shared" si="10"/>
        <v>27614</v>
      </c>
      <c r="H36" s="57">
        <f t="shared" si="10"/>
        <v>32999</v>
      </c>
      <c r="I36" s="57">
        <f t="shared" si="10"/>
        <v>801651</v>
      </c>
      <c r="J36" s="57">
        <f t="shared" si="10"/>
        <v>16182</v>
      </c>
      <c r="K36" s="57">
        <f t="shared" si="10"/>
        <v>3975</v>
      </c>
      <c r="L36" s="57">
        <f t="shared" si="10"/>
        <v>92701</v>
      </c>
      <c r="M36" s="57">
        <f t="shared" si="10"/>
        <v>397113</v>
      </c>
      <c r="N36" s="57">
        <f t="shared" si="10"/>
        <v>382999</v>
      </c>
      <c r="O36" s="57">
        <f t="shared" si="10"/>
        <v>46116</v>
      </c>
      <c r="P36" s="57">
        <f t="shared" si="10"/>
        <v>2028</v>
      </c>
      <c r="Q36" s="57">
        <f t="shared" si="10"/>
        <v>118831</v>
      </c>
      <c r="R36" s="56">
        <f t="shared" si="10"/>
        <v>1239886.25</v>
      </c>
      <c r="S36" s="56">
        <f t="shared" si="10"/>
        <v>3176816.25</v>
      </c>
      <c r="T36" s="56">
        <f t="shared" si="10"/>
        <v>9227500</v>
      </c>
      <c r="U36" s="56">
        <f>U33+U34+U35</f>
        <v>103322115</v>
      </c>
    </row>
    <row r="37" spans="1:21" s="63" customFormat="1" ht="15.75" customHeight="1" x14ac:dyDescent="0.25">
      <c r="A37" s="65"/>
      <c r="B37" s="66" t="s">
        <v>50</v>
      </c>
      <c r="C37" s="56">
        <f t="shared" ref="C37:U37" si="11">C21+C36</f>
        <v>3737.15</v>
      </c>
      <c r="D37" s="56">
        <f t="shared" si="11"/>
        <v>19008501.652500004</v>
      </c>
      <c r="E37" s="57">
        <f t="shared" si="11"/>
        <v>16154</v>
      </c>
      <c r="F37" s="57">
        <f t="shared" si="11"/>
        <v>16095</v>
      </c>
      <c r="G37" s="57">
        <f t="shared" si="11"/>
        <v>224880</v>
      </c>
      <c r="H37" s="57">
        <f t="shared" si="11"/>
        <v>156548</v>
      </c>
      <c r="I37" s="67">
        <f t="shared" si="11"/>
        <v>3006304</v>
      </c>
      <c r="J37" s="57">
        <f t="shared" si="11"/>
        <v>16182</v>
      </c>
      <c r="K37" s="57">
        <f t="shared" si="11"/>
        <v>18712</v>
      </c>
      <c r="L37" s="57">
        <f t="shared" si="11"/>
        <v>92701</v>
      </c>
      <c r="M37" s="57">
        <f t="shared" si="11"/>
        <v>1785709</v>
      </c>
      <c r="N37" s="57">
        <f t="shared" si="11"/>
        <v>1481345</v>
      </c>
      <c r="O37" s="57">
        <f t="shared" si="11"/>
        <v>78612</v>
      </c>
      <c r="P37" s="57">
        <f t="shared" si="11"/>
        <v>31347</v>
      </c>
      <c r="Q37" s="57">
        <f t="shared" si="11"/>
        <v>209822</v>
      </c>
      <c r="R37" s="56">
        <f t="shared" si="11"/>
        <v>3859179.75</v>
      </c>
      <c r="S37" s="56">
        <f t="shared" si="11"/>
        <v>10993590.75</v>
      </c>
      <c r="T37" s="56">
        <f t="shared" si="11"/>
        <v>30229100.002499998</v>
      </c>
      <c r="U37" s="56">
        <f t="shared" si="11"/>
        <v>355067615</v>
      </c>
    </row>
    <row r="38" spans="1:21" s="63" customFormat="1" ht="9.75" customHeight="1" x14ac:dyDescent="0.25"/>
    <row r="39" spans="1:21" s="63" customFormat="1" ht="1.5" hidden="1" customHeight="1" x14ac:dyDescent="0.25"/>
    <row r="40" spans="1:21" s="63" customFormat="1" ht="19.2" customHeight="1" x14ac:dyDescent="0.25">
      <c r="B40" s="68" t="str">
        <f>[1]ХПИ!G688</f>
        <v>В.О.Ректора НТУ"ХПІ"</v>
      </c>
      <c r="G40" s="68" t="s">
        <v>51</v>
      </c>
      <c r="L40" s="63" t="s">
        <v>52</v>
      </c>
      <c r="S40" s="63" t="s">
        <v>53</v>
      </c>
    </row>
    <row r="41" spans="1:21" s="63" customFormat="1" ht="15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1" s="63" customFormat="1" x14ac:dyDescent="0.25"/>
    <row r="43" spans="1:21" s="63" customFormat="1" x14ac:dyDescent="0.25"/>
    <row r="44" spans="1:21" s="63" customFormat="1" x14ac:dyDescent="0.25"/>
    <row r="45" spans="1:21" s="63" customFormat="1" x14ac:dyDescent="0.25"/>
    <row r="46" spans="1:21" s="63" customFormat="1" x14ac:dyDescent="0.25"/>
    <row r="47" spans="1:21" s="63" customFormat="1" x14ac:dyDescent="0.25"/>
    <row r="48" spans="1:21" s="63" customFormat="1" x14ac:dyDescent="0.25"/>
  </sheetData>
  <mergeCells count="22">
    <mergeCell ref="O5:O7"/>
    <mergeCell ref="P5:P7"/>
    <mergeCell ref="Q5:Q7"/>
    <mergeCell ref="R5:R7"/>
    <mergeCell ref="A9:U9"/>
    <mergeCell ref="A24:U24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</vt:lpstr>
      <vt:lpstr>звед!Заголовки_для_печати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2020-10-02T06:28:01Z</dcterms:created>
  <dcterms:modified xsi:type="dcterms:W3CDTF">2020-10-02T06:28:40Z</dcterms:modified>
</cp:coreProperties>
</file>