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FO\SCHTAT\2020\"/>
    </mc:Choice>
  </mc:AlternateContent>
  <bookViews>
    <workbookView xWindow="0" yWindow="0" windowWidth="23040" windowHeight="8544"/>
  </bookViews>
  <sheets>
    <sheet name="звед" sheetId="1" r:id="rId1"/>
  </sheets>
  <externalReferences>
    <externalReference r:id="rId2"/>
  </externalReferences>
  <definedNames>
    <definedName name="_xlnm.Print_Titles" localSheetId="0">звед!$8:$8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B39" i="1"/>
  <c r="O35" i="1"/>
  <c r="K35" i="1"/>
  <c r="E35" i="1"/>
  <c r="U33" i="1"/>
  <c r="B33" i="1"/>
  <c r="T32" i="1"/>
  <c r="U32" i="1" s="1"/>
  <c r="R31" i="1"/>
  <c r="R35" i="1" s="1"/>
  <c r="O31" i="1"/>
  <c r="L31" i="1"/>
  <c r="L35" i="1" s="1"/>
  <c r="K31" i="1"/>
  <c r="J31" i="1"/>
  <c r="J35" i="1" s="1"/>
  <c r="H31" i="1"/>
  <c r="H35" i="1" s="1"/>
  <c r="F31" i="1"/>
  <c r="F35" i="1" s="1"/>
  <c r="E31" i="1"/>
  <c r="R30" i="1"/>
  <c r="Q30" i="1"/>
  <c r="Q31" i="1" s="1"/>
  <c r="Q35" i="1" s="1"/>
  <c r="D30" i="1"/>
  <c r="C30" i="1"/>
  <c r="T29" i="1"/>
  <c r="U29" i="1" s="1"/>
  <c r="S29" i="1"/>
  <c r="S28" i="1"/>
  <c r="R28" i="1"/>
  <c r="D28" i="1"/>
  <c r="C28" i="1"/>
  <c r="I27" i="1"/>
  <c r="G27" i="1"/>
  <c r="G31" i="1" s="1"/>
  <c r="G35" i="1" s="1"/>
  <c r="D27" i="1"/>
  <c r="C27" i="1"/>
  <c r="N26" i="1"/>
  <c r="P25" i="1"/>
  <c r="P31" i="1" s="1"/>
  <c r="P35" i="1" s="1"/>
  <c r="N25" i="1"/>
  <c r="M25" i="1"/>
  <c r="M31" i="1" s="1"/>
  <c r="M35" i="1" s="1"/>
  <c r="I25" i="1"/>
  <c r="I31" i="1" s="1"/>
  <c r="I35" i="1" s="1"/>
  <c r="D25" i="1"/>
  <c r="D31" i="1" s="1"/>
  <c r="D35" i="1" s="1"/>
  <c r="C25" i="1"/>
  <c r="U24" i="1"/>
  <c r="S24" i="1"/>
  <c r="T24" i="1" s="1"/>
  <c r="T23" i="1"/>
  <c r="S23" i="1"/>
  <c r="Q21" i="1"/>
  <c r="Q36" i="1" s="1"/>
  <c r="O21" i="1"/>
  <c r="O36" i="1" s="1"/>
  <c r="I21" i="1"/>
  <c r="I36" i="1" s="1"/>
  <c r="G21" i="1"/>
  <c r="U20" i="1"/>
  <c r="U19" i="1"/>
  <c r="R18" i="1"/>
  <c r="R21" i="1" s="1"/>
  <c r="R36" i="1" s="1"/>
  <c r="P18" i="1"/>
  <c r="P21" i="1" s="1"/>
  <c r="P36" i="1" s="1"/>
  <c r="O18" i="1"/>
  <c r="N18" i="1"/>
  <c r="N21" i="1" s="1"/>
  <c r="L18" i="1"/>
  <c r="L21" i="1" s="1"/>
  <c r="L36" i="1" s="1"/>
  <c r="J18" i="1"/>
  <c r="J21" i="1" s="1"/>
  <c r="J36" i="1" s="1"/>
  <c r="G18" i="1"/>
  <c r="D18" i="1"/>
  <c r="D21" i="1" s="1"/>
  <c r="S17" i="1"/>
  <c r="T17" i="1" s="1"/>
  <c r="U17" i="1" s="1"/>
  <c r="Q17" i="1"/>
  <c r="I16" i="1"/>
  <c r="H16" i="1"/>
  <c r="H18" i="1" s="1"/>
  <c r="H21" i="1" s="1"/>
  <c r="H36" i="1" s="1"/>
  <c r="T15" i="1"/>
  <c r="U15" i="1" s="1"/>
  <c r="S15" i="1"/>
  <c r="U14" i="1"/>
  <c r="S14" i="1"/>
  <c r="T14" i="1" s="1"/>
  <c r="T13" i="1"/>
  <c r="U13" i="1" s="1"/>
  <c r="N13" i="1"/>
  <c r="M13" i="1"/>
  <c r="I13" i="1"/>
  <c r="S13" i="1" s="1"/>
  <c r="D13" i="1"/>
  <c r="C13" i="1"/>
  <c r="T12" i="1"/>
  <c r="U12" i="1" s="1"/>
  <c r="Q12" i="1"/>
  <c r="Q18" i="1" s="1"/>
  <c r="P12" i="1"/>
  <c r="N12" i="1"/>
  <c r="M12" i="1"/>
  <c r="K12" i="1"/>
  <c r="K18" i="1" s="1"/>
  <c r="K21" i="1" s="1"/>
  <c r="K36" i="1" s="1"/>
  <c r="I12" i="1"/>
  <c r="F12" i="1"/>
  <c r="S12" i="1" s="1"/>
  <c r="D12" i="1"/>
  <c r="C12" i="1"/>
  <c r="T11" i="1"/>
  <c r="U11" i="1" s="1"/>
  <c r="N11" i="1"/>
  <c r="M11" i="1"/>
  <c r="I11" i="1"/>
  <c r="S11" i="1" s="1"/>
  <c r="D11" i="1"/>
  <c r="C11" i="1"/>
  <c r="N10" i="1"/>
  <c r="M10" i="1"/>
  <c r="M18" i="1" s="1"/>
  <c r="M21" i="1" s="1"/>
  <c r="M36" i="1" s="1"/>
  <c r="I10" i="1"/>
  <c r="I18" i="1" s="1"/>
  <c r="F10" i="1"/>
  <c r="E10" i="1"/>
  <c r="D10" i="1"/>
  <c r="C10" i="1"/>
  <c r="C18" i="1" s="1"/>
  <c r="C21" i="1" s="1"/>
  <c r="D36" i="1" l="1"/>
  <c r="U23" i="1"/>
  <c r="S26" i="1"/>
  <c r="T26" i="1" s="1"/>
  <c r="U26" i="1" s="1"/>
  <c r="N31" i="1"/>
  <c r="N35" i="1" s="1"/>
  <c r="N36" i="1" s="1"/>
  <c r="S27" i="1"/>
  <c r="T27" i="1" s="1"/>
  <c r="U27" i="1" s="1"/>
  <c r="E18" i="1"/>
  <c r="E21" i="1" s="1"/>
  <c r="E36" i="1" s="1"/>
  <c r="S10" i="1"/>
  <c r="S16" i="1"/>
  <c r="T16" i="1" s="1"/>
  <c r="U16" i="1" s="1"/>
  <c r="F18" i="1"/>
  <c r="F21" i="1" s="1"/>
  <c r="F36" i="1" s="1"/>
  <c r="G36" i="1"/>
  <c r="C31" i="1"/>
  <c r="C35" i="1" s="1"/>
  <c r="C36" i="1" s="1"/>
  <c r="T28" i="1"/>
  <c r="U28" i="1" s="1"/>
  <c r="S30" i="1"/>
  <c r="T30" i="1" s="1"/>
  <c r="U30" i="1" s="1"/>
  <c r="S25" i="1"/>
  <c r="T25" i="1" s="1"/>
  <c r="U25" i="1" s="1"/>
  <c r="S31" i="1" l="1"/>
  <c r="S35" i="1" s="1"/>
  <c r="S18" i="1"/>
  <c r="S21" i="1" s="1"/>
  <c r="S36" i="1" s="1"/>
  <c r="T10" i="1"/>
  <c r="U31" i="1"/>
  <c r="U35" i="1" s="1"/>
  <c r="T31" i="1"/>
  <c r="T35" i="1" s="1"/>
  <c r="U10" i="1" l="1"/>
  <c r="U18" i="1" s="1"/>
  <c r="U21" i="1" s="1"/>
  <c r="U36" i="1" s="1"/>
  <c r="T18" i="1"/>
  <c r="T21" i="1" s="1"/>
  <c r="T36" i="1" s="1"/>
</calcChain>
</file>

<file path=xl/sharedStrings.xml><?xml version="1.0" encoding="utf-8"?>
<sst xmlns="http://schemas.openxmlformats.org/spreadsheetml/2006/main" count="64" uniqueCount="51">
  <si>
    <t>Зведений штатний розпис на  2020 рік</t>
  </si>
  <si>
    <t>Н а ц і о н а л ь н и й    т е х н і ч н и й    у н і в е р с и т е т   "ХПІ"</t>
  </si>
  <si>
    <t>з 01.01.2020</t>
  </si>
  <si>
    <t>№п\п</t>
  </si>
  <si>
    <t>Назва структурного</t>
  </si>
  <si>
    <t>Кільк.шт.од.</t>
  </si>
  <si>
    <t xml:space="preserve">Разом по окладах ЄТС </t>
  </si>
  <si>
    <t>Надбавки(грн)</t>
  </si>
  <si>
    <t>Доплати (грн.)</t>
  </si>
  <si>
    <t>Разом</t>
  </si>
  <si>
    <t>Фонд</t>
  </si>
  <si>
    <t xml:space="preserve"> підрозділу та посад</t>
  </si>
  <si>
    <t>Згідно постанови КМУ №134 від 07.02.2001</t>
  </si>
  <si>
    <t>"Заслуж."</t>
  </si>
  <si>
    <t>Педагогічному персоналу 20%</t>
  </si>
  <si>
    <t>За особливі умови праці</t>
  </si>
  <si>
    <t>Вислуга років</t>
  </si>
  <si>
    <t>За працю в умовах реж.обмеж.</t>
  </si>
  <si>
    <t>Спортивне звання</t>
  </si>
  <si>
    <t xml:space="preserve">За володіння інозем.мовою </t>
  </si>
  <si>
    <t>вчене звання</t>
  </si>
  <si>
    <t>наукова ступень</t>
  </si>
  <si>
    <t>Праця в шкідл.умовах,прибир.туалетів</t>
  </si>
  <si>
    <t>За зав.кафед.</t>
  </si>
  <si>
    <t>Зам.декан,бригад.,класн., майстерн.ночн.,н.р.д.</t>
  </si>
  <si>
    <t>Доплата до 4723 грн.</t>
  </si>
  <si>
    <t>доплати</t>
  </si>
  <si>
    <t>заробітної</t>
  </si>
  <si>
    <t>та надб.</t>
  </si>
  <si>
    <t xml:space="preserve">плати на </t>
  </si>
  <si>
    <t>місяць</t>
  </si>
  <si>
    <t xml:space="preserve"> 2020 РІК</t>
  </si>
  <si>
    <t>Загальний фонд</t>
  </si>
  <si>
    <t>АУП (ректор, проректори)</t>
  </si>
  <si>
    <t>АУП (директор,декани)</t>
  </si>
  <si>
    <t>ПВС</t>
  </si>
  <si>
    <t>інші НПП</t>
  </si>
  <si>
    <t>Педагогічні працівники</t>
  </si>
  <si>
    <t>Спеціалісти</t>
  </si>
  <si>
    <t>Бібліотекарі</t>
  </si>
  <si>
    <t>Робітники</t>
  </si>
  <si>
    <t>Разом по всіх категоріях працівників</t>
  </si>
  <si>
    <t>Щорічна винагорода пед.прац.</t>
  </si>
  <si>
    <t>Доплата на оздоровлення</t>
  </si>
  <si>
    <t>Разом по загальному фонду</t>
  </si>
  <si>
    <t>Спеціальний фонд</t>
  </si>
  <si>
    <t>Погодинний фонд</t>
  </si>
  <si>
    <t>Разом по cпеціальному фонду</t>
  </si>
  <si>
    <t>Разом по ВУЗу</t>
  </si>
  <si>
    <t>Начальник ПФВ</t>
  </si>
  <si>
    <t>Ніна ГОРБАТЕНКО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</si>
</sst>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charset val="204"/>
    </font>
    <font>
      <sz val="6"/>
      <name val="Arial Cyr"/>
      <charset val="204"/>
    </font>
    <font>
      <sz val="8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textRotation="90" wrapText="1"/>
    </xf>
    <xf numFmtId="0" fontId="10" fillId="0" borderId="7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wrapText="1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8" xfId="0" applyFont="1" applyFill="1" applyBorder="1"/>
    <xf numFmtId="0" fontId="7" fillId="0" borderId="7" xfId="0" applyFont="1" applyFill="1" applyBorder="1" applyAlignment="1">
      <alignment horizontal="center" wrapText="1"/>
    </xf>
    <xf numFmtId="0" fontId="9" fillId="0" borderId="9" xfId="0" applyFont="1" applyFill="1" applyBorder="1"/>
    <xf numFmtId="0" fontId="9" fillId="0" borderId="10" xfId="0" applyFont="1" applyFill="1" applyBorder="1"/>
    <xf numFmtId="0" fontId="7" fillId="0" borderId="9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textRotation="90" wrapText="1"/>
    </xf>
    <xf numFmtId="0" fontId="10" fillId="0" borderId="9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1" fillId="0" borderId="0" xfId="0" applyFont="1" applyFill="1"/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/>
    <xf numFmtId="2" fontId="13" fillId="0" borderId="11" xfId="0" applyNumberFormat="1" applyFont="1" applyFill="1" applyBorder="1"/>
    <xf numFmtId="1" fontId="13" fillId="0" borderId="11" xfId="0" applyNumberFormat="1" applyFont="1" applyFill="1" applyBorder="1"/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wrapText="1"/>
    </xf>
    <xf numFmtId="164" fontId="14" fillId="0" borderId="11" xfId="0" applyNumberFormat="1" applyFont="1" applyFill="1" applyBorder="1"/>
    <xf numFmtId="0" fontId="15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" fillId="0" borderId="0" xfId="0" applyFont="1" applyFill="1"/>
    <xf numFmtId="164" fontId="13" fillId="0" borderId="11" xfId="0" applyNumberFormat="1" applyFont="1" applyFill="1" applyBorder="1"/>
    <xf numFmtId="0" fontId="1" fillId="0" borderId="11" xfId="0" applyFont="1" applyFill="1" applyBorder="1"/>
    <xf numFmtId="0" fontId="5" fillId="0" borderId="11" xfId="0" applyFont="1" applyFill="1" applyBorder="1"/>
    <xf numFmtId="164" fontId="17" fillId="0" borderId="11" xfId="0" applyNumberFormat="1" applyFont="1" applyFill="1" applyBorder="1" applyAlignment="1">
      <alignment horizontal="center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0;&#1072;&#1090;&#1080;%20&#1089;%2001.01.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"/>
      <sheetName val="звед с 1.09 хпи"/>
      <sheetName val="якіс хпи"/>
      <sheetName val="якісн"/>
      <sheetName val="ХПИ"/>
      <sheetName val="штати"/>
      <sheetName val="увп"/>
      <sheetName val="посади"/>
      <sheetName val="заг.ф"/>
      <sheetName val="спец.ф"/>
      <sheetName val="ППС ХПИ с коп."/>
      <sheetName val="Лист3"/>
      <sheetName val="ос"/>
    </sheetNames>
    <sheetDataSet>
      <sheetData sheetId="0"/>
      <sheetData sheetId="1"/>
      <sheetData sheetId="2"/>
      <sheetData sheetId="3"/>
      <sheetData sheetId="4">
        <row r="21">
          <cell r="G21">
            <v>10173.15</v>
          </cell>
          <cell r="O21">
            <v>3052</v>
          </cell>
          <cell r="Q21">
            <v>3358</v>
          </cell>
          <cell r="S21">
            <v>2544</v>
          </cell>
        </row>
        <row r="22">
          <cell r="G22">
            <v>48322.45</v>
          </cell>
          <cell r="O22">
            <v>13531</v>
          </cell>
          <cell r="Q22">
            <v>12758</v>
          </cell>
          <cell r="R22">
            <v>2417</v>
          </cell>
          <cell r="S22">
            <v>9665</v>
          </cell>
          <cell r="T22">
            <v>1450</v>
          </cell>
        </row>
        <row r="23">
          <cell r="C23">
            <v>4</v>
          </cell>
          <cell r="G23">
            <v>37890.959999999999</v>
          </cell>
          <cell r="O23">
            <v>9474</v>
          </cell>
          <cell r="Q23">
            <v>3127</v>
          </cell>
          <cell r="R23">
            <v>4737</v>
          </cell>
          <cell r="S23">
            <v>2369</v>
          </cell>
          <cell r="T23">
            <v>4263</v>
          </cell>
        </row>
        <row r="24">
          <cell r="C24">
            <v>5</v>
          </cell>
          <cell r="G24">
            <v>44916.149999999994</v>
          </cell>
          <cell r="O24">
            <v>10780</v>
          </cell>
          <cell r="Q24">
            <v>2965</v>
          </cell>
          <cell r="R24">
            <v>8984</v>
          </cell>
          <cell r="S24">
            <v>8984</v>
          </cell>
          <cell r="T24">
            <v>1348</v>
          </cell>
        </row>
        <row r="25">
          <cell r="C25">
            <v>5</v>
          </cell>
          <cell r="G25">
            <v>42670.35</v>
          </cell>
          <cell r="O25">
            <v>11948</v>
          </cell>
          <cell r="R25">
            <v>8535</v>
          </cell>
          <cell r="T25">
            <v>6401</v>
          </cell>
        </row>
        <row r="37">
          <cell r="C37">
            <v>849.9</v>
          </cell>
          <cell r="G37">
            <v>6669233.5085000005</v>
          </cell>
          <cell r="L37">
            <v>9212</v>
          </cell>
          <cell r="M37">
            <v>12808</v>
          </cell>
          <cell r="O37">
            <v>1707261</v>
          </cell>
          <cell r="P37">
            <v>23646</v>
          </cell>
          <cell r="Q37">
            <v>417597</v>
          </cell>
          <cell r="R37">
            <v>851216</v>
          </cell>
          <cell r="S37">
            <v>332949</v>
          </cell>
          <cell r="T37">
            <v>650133</v>
          </cell>
          <cell r="V37">
            <v>21510</v>
          </cell>
        </row>
        <row r="39">
          <cell r="S39">
            <v>1237</v>
          </cell>
        </row>
        <row r="293">
          <cell r="O293">
            <v>70033</v>
          </cell>
        </row>
        <row r="383">
          <cell r="I383">
            <v>116714</v>
          </cell>
        </row>
        <row r="385">
          <cell r="AA385">
            <v>937700</v>
          </cell>
        </row>
        <row r="386">
          <cell r="AA386">
            <v>8074200</v>
          </cell>
        </row>
        <row r="387">
          <cell r="W387">
            <v>62316</v>
          </cell>
        </row>
        <row r="692">
          <cell r="B692" t="str">
            <v>Доплата на оздоровлення</v>
          </cell>
          <cell r="AA692">
            <v>110000</v>
          </cell>
        </row>
        <row r="696">
          <cell r="G696" t="str">
            <v>Ректор НТУ"ХПІ"</v>
          </cell>
          <cell r="S696" t="str">
            <v>Євген СОКОЛ</v>
          </cell>
        </row>
      </sheetData>
      <sheetData sheetId="5">
        <row r="22">
          <cell r="C22">
            <v>1</v>
          </cell>
          <cell r="H22">
            <v>5087</v>
          </cell>
        </row>
        <row r="23">
          <cell r="C23">
            <v>5</v>
          </cell>
          <cell r="L23">
            <v>1933</v>
          </cell>
        </row>
        <row r="40">
          <cell r="C40">
            <v>1</v>
          </cell>
          <cell r="G40">
            <v>4946.16</v>
          </cell>
        </row>
        <row r="41">
          <cell r="O41">
            <v>1484</v>
          </cell>
          <cell r="R41">
            <v>1237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V47"/>
  <sheetViews>
    <sheetView tabSelected="1" view="pageBreakPreview" topLeftCell="A14" zoomScaleNormal="100" zoomScaleSheetLayoutView="100" workbookViewId="0">
      <selection activeCell="T32" sqref="T32"/>
    </sheetView>
  </sheetViews>
  <sheetFormatPr defaultColWidth="9.109375" defaultRowHeight="13.2" x14ac:dyDescent="0.25"/>
  <cols>
    <col min="1" max="1" width="2" style="4" customWidth="1"/>
    <col min="2" max="2" width="21" style="4" customWidth="1"/>
    <col min="3" max="3" width="5.88671875" style="4" customWidth="1"/>
    <col min="4" max="4" width="9.109375" style="4" customWidth="1"/>
    <col min="5" max="5" width="4.77734375" style="4" customWidth="1"/>
    <col min="6" max="6" width="5.6640625" style="4" customWidth="1"/>
    <col min="7" max="7" width="6.33203125" style="4" customWidth="1"/>
    <col min="8" max="8" width="5.5546875" style="4" customWidth="1"/>
    <col min="9" max="9" width="6.88671875" style="4" customWidth="1"/>
    <col min="10" max="10" width="4.44140625" style="4" customWidth="1"/>
    <col min="11" max="11" width="5" style="4" customWidth="1"/>
    <col min="12" max="12" width="5.21875" style="4" customWidth="1"/>
    <col min="13" max="13" width="6.109375" style="4" customWidth="1"/>
    <col min="14" max="14" width="6" style="4" customWidth="1"/>
    <col min="15" max="15" width="5" style="4" customWidth="1"/>
    <col min="16" max="16" width="4.6640625" style="4" customWidth="1"/>
    <col min="17" max="17" width="6.33203125" style="4" customWidth="1"/>
    <col min="18" max="18" width="8.109375" style="4" customWidth="1"/>
    <col min="19" max="19" width="8.77734375" style="4" customWidth="1"/>
    <col min="20" max="20" width="9.5546875" style="4" customWidth="1"/>
    <col min="21" max="21" width="9.77734375" style="4" customWidth="1"/>
    <col min="22" max="16384" width="9.109375" style="4"/>
  </cols>
  <sheetData>
    <row r="1" spans="1:22" ht="15.6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ht="15.6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ht="11.4" customHeight="1" x14ac:dyDescent="0.25">
      <c r="B3" s="5" t="s">
        <v>2</v>
      </c>
    </row>
    <row r="4" spans="1:22" ht="12.75" customHeight="1" x14ac:dyDescent="0.25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/>
      <c r="G4" s="11"/>
      <c r="H4" s="11"/>
      <c r="I4" s="11"/>
      <c r="J4" s="11"/>
      <c r="K4" s="11"/>
      <c r="L4" s="12"/>
      <c r="M4" s="13" t="s">
        <v>8</v>
      </c>
      <c r="N4" s="14"/>
      <c r="O4" s="14"/>
      <c r="P4" s="14"/>
      <c r="Q4" s="15"/>
      <c r="R4" s="16"/>
      <c r="S4" s="17" t="s">
        <v>9</v>
      </c>
      <c r="T4" s="18" t="s">
        <v>10</v>
      </c>
      <c r="U4" s="19" t="s">
        <v>10</v>
      </c>
      <c r="V4" s="20"/>
    </row>
    <row r="5" spans="1:22" ht="12.75" customHeight="1" x14ac:dyDescent="0.25">
      <c r="A5" s="21"/>
      <c r="B5" s="22" t="s">
        <v>11</v>
      </c>
      <c r="C5" s="23"/>
      <c r="D5" s="24"/>
      <c r="E5" s="25" t="s">
        <v>12</v>
      </c>
      <c r="F5" s="24" t="s">
        <v>13</v>
      </c>
      <c r="G5" s="24" t="s">
        <v>14</v>
      </c>
      <c r="H5" s="24" t="s">
        <v>15</v>
      </c>
      <c r="I5" s="24" t="s">
        <v>16</v>
      </c>
      <c r="J5" s="24" t="s">
        <v>17</v>
      </c>
      <c r="K5" s="24" t="s">
        <v>18</v>
      </c>
      <c r="L5" s="9" t="s">
        <v>19</v>
      </c>
      <c r="M5" s="9" t="s">
        <v>20</v>
      </c>
      <c r="N5" s="9" t="s">
        <v>21</v>
      </c>
      <c r="O5" s="9" t="s">
        <v>22</v>
      </c>
      <c r="P5" s="9" t="s">
        <v>23</v>
      </c>
      <c r="Q5" s="9" t="s">
        <v>24</v>
      </c>
      <c r="R5" s="26" t="s">
        <v>25</v>
      </c>
      <c r="S5" s="27" t="s">
        <v>26</v>
      </c>
      <c r="T5" s="28" t="s">
        <v>27</v>
      </c>
      <c r="U5" s="29" t="s">
        <v>27</v>
      </c>
      <c r="V5" s="20"/>
    </row>
    <row r="6" spans="1:22" x14ac:dyDescent="0.25">
      <c r="A6" s="21"/>
      <c r="B6" s="30"/>
      <c r="C6" s="23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31"/>
      <c r="S6" s="27" t="s">
        <v>28</v>
      </c>
      <c r="T6" s="28" t="s">
        <v>29</v>
      </c>
      <c r="U6" s="29" t="s">
        <v>29</v>
      </c>
      <c r="V6" s="20"/>
    </row>
    <row r="7" spans="1:22" ht="34.200000000000003" customHeight="1" x14ac:dyDescent="0.25">
      <c r="A7" s="32"/>
      <c r="B7" s="33"/>
      <c r="C7" s="34"/>
      <c r="D7" s="35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7"/>
      <c r="S7" s="38"/>
      <c r="T7" s="39" t="s">
        <v>30</v>
      </c>
      <c r="U7" s="40" t="s">
        <v>31</v>
      </c>
      <c r="V7" s="20"/>
    </row>
    <row r="8" spans="1:22" s="42" customFormat="1" ht="9.6" customHeight="1" x14ac:dyDescent="0.2">
      <c r="A8" s="41">
        <v>1</v>
      </c>
      <c r="B8" s="41">
        <v>2</v>
      </c>
      <c r="C8" s="41">
        <v>3</v>
      </c>
      <c r="D8" s="41">
        <v>5</v>
      </c>
      <c r="E8" s="41"/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  <c r="U8" s="41">
        <v>21</v>
      </c>
    </row>
    <row r="9" spans="1:22" ht="16.2" customHeight="1" x14ac:dyDescent="0.25">
      <c r="A9" s="43" t="s">
        <v>32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</row>
    <row r="10" spans="1:22" ht="16.2" customHeight="1" x14ac:dyDescent="0.25">
      <c r="A10" s="46">
        <v>1</v>
      </c>
      <c r="B10" s="47" t="s">
        <v>33</v>
      </c>
      <c r="C10" s="47">
        <f>[1]штати!C22+[1]штати!C23</f>
        <v>6</v>
      </c>
      <c r="D10" s="48">
        <f>[1]ХПИ!G21+[1]ХПИ!G22</f>
        <v>58495.6</v>
      </c>
      <c r="E10" s="49">
        <f>[1]штати!H22</f>
        <v>5087</v>
      </c>
      <c r="F10" s="47">
        <f>[1]штати!L22+[1]штати!L23</f>
        <v>1933</v>
      </c>
      <c r="G10" s="47"/>
      <c r="H10" s="47"/>
      <c r="I10" s="47">
        <f>[1]ХПИ!O21+[1]ХПИ!O22</f>
        <v>16583</v>
      </c>
      <c r="J10" s="47"/>
      <c r="K10" s="47"/>
      <c r="L10" s="47"/>
      <c r="M10" s="47">
        <f>[1]ХПИ!Q21+[1]ХПИ!R21+[1]ХПИ!Q22+[1]ХПИ!R22</f>
        <v>18533</v>
      </c>
      <c r="N10" s="47">
        <f>[1]ХПИ!S21+[1]ХПИ!T21+[1]ХПИ!S22+[1]ХПИ!T22</f>
        <v>13659</v>
      </c>
      <c r="O10" s="47"/>
      <c r="P10" s="47"/>
      <c r="Q10" s="47"/>
      <c r="R10" s="47"/>
      <c r="S10" s="49">
        <f>SUM(E10:R10)</f>
        <v>55795</v>
      </c>
      <c r="T10" s="48">
        <f t="shared" ref="T10:T17" si="0">S10+D10</f>
        <v>114290.6</v>
      </c>
      <c r="U10" s="48">
        <f>T10*12</f>
        <v>1371487.2000000002</v>
      </c>
    </row>
    <row r="11" spans="1:22" ht="16.2" customHeight="1" x14ac:dyDescent="0.25">
      <c r="A11" s="46">
        <v>2</v>
      </c>
      <c r="B11" s="47" t="s">
        <v>34</v>
      </c>
      <c r="C11" s="47">
        <f>[1]ХПИ!C23+[1]ХПИ!C24+[1]ХПИ!C25</f>
        <v>14</v>
      </c>
      <c r="D11" s="48">
        <f>[1]ХПИ!G23+[1]ХПИ!G24+[1]ХПИ!G25</f>
        <v>125477.45999999999</v>
      </c>
      <c r="E11" s="48"/>
      <c r="F11" s="47"/>
      <c r="G11" s="47"/>
      <c r="H11" s="47"/>
      <c r="I11" s="47">
        <f>[1]ХПИ!O23+[1]ХПИ!O24+[1]ХПИ!O25</f>
        <v>32202</v>
      </c>
      <c r="J11" s="47"/>
      <c r="K11" s="47"/>
      <c r="L11" s="47"/>
      <c r="M11" s="47">
        <f>[1]ХПИ!Q23+[1]ХПИ!Q24+[1]ХПИ!Q25+[1]ХПИ!R23+[1]ХПИ!R24+[1]ХПИ!R25</f>
        <v>28348</v>
      </c>
      <c r="N11" s="47">
        <f>[1]ХПИ!S23+[1]ХПИ!T23+[1]ХПИ!S24+[1]ХПИ!T24+[1]ХПИ!S25+[1]ХПИ!T25</f>
        <v>23365</v>
      </c>
      <c r="O11" s="47"/>
      <c r="P11" s="47"/>
      <c r="Q11" s="47"/>
      <c r="R11" s="47"/>
      <c r="S11" s="49">
        <f t="shared" ref="S11:S17" si="1">SUM(E11:R11)</f>
        <v>83915</v>
      </c>
      <c r="T11" s="48">
        <f t="shared" si="0"/>
        <v>209392.46</v>
      </c>
      <c r="U11" s="48">
        <f t="shared" ref="U11:U17" si="2">T11*12</f>
        <v>2512709.52</v>
      </c>
    </row>
    <row r="12" spans="1:22" ht="16.2" customHeight="1" x14ac:dyDescent="0.25">
      <c r="A12" s="46">
        <v>3</v>
      </c>
      <c r="B12" s="47" t="s">
        <v>35</v>
      </c>
      <c r="C12" s="48">
        <f>[1]ХПИ!C37</f>
        <v>849.9</v>
      </c>
      <c r="D12" s="48">
        <f>[1]ХПИ!G37</f>
        <v>6669233.5085000005</v>
      </c>
      <c r="E12" s="48"/>
      <c r="F12" s="47">
        <f>[1]ХПИ!L37</f>
        <v>9212</v>
      </c>
      <c r="G12" s="47"/>
      <c r="H12" s="47"/>
      <c r="I12" s="49">
        <f>[1]ХПИ!O37</f>
        <v>1707261</v>
      </c>
      <c r="J12" s="47"/>
      <c r="K12" s="47">
        <f>[1]ХПИ!M37</f>
        <v>12808</v>
      </c>
      <c r="L12" s="47"/>
      <c r="M12" s="49">
        <f>[1]ХПИ!Q37+[1]ХПИ!R37</f>
        <v>1268813</v>
      </c>
      <c r="N12" s="49">
        <f>[1]ХПИ!S37+[1]ХПИ!T37</f>
        <v>983082</v>
      </c>
      <c r="O12" s="47"/>
      <c r="P12" s="47">
        <f>[1]ХПИ!V37</f>
        <v>21510</v>
      </c>
      <c r="Q12" s="47">
        <f>[1]ХПИ!P37</f>
        <v>23646</v>
      </c>
      <c r="R12" s="47"/>
      <c r="S12" s="48">
        <f t="shared" si="1"/>
        <v>4026332</v>
      </c>
      <c r="T12" s="48">
        <f t="shared" si="0"/>
        <v>10695565.5085</v>
      </c>
      <c r="U12" s="48">
        <f>T12*12+0.02</f>
        <v>128346786.12199999</v>
      </c>
    </row>
    <row r="13" spans="1:22" ht="16.2" customHeight="1" x14ac:dyDescent="0.25">
      <c r="A13" s="46">
        <v>4</v>
      </c>
      <c r="B13" s="47" t="s">
        <v>36</v>
      </c>
      <c r="C13" s="47">
        <f>[1]штати!C40</f>
        <v>1</v>
      </c>
      <c r="D13" s="48">
        <f>[1]штати!G40</f>
        <v>4946.16</v>
      </c>
      <c r="E13" s="48"/>
      <c r="F13" s="47"/>
      <c r="G13" s="47"/>
      <c r="H13" s="47"/>
      <c r="I13" s="47">
        <f>[1]штати!O41</f>
        <v>1484</v>
      </c>
      <c r="J13" s="47"/>
      <c r="K13" s="47"/>
      <c r="L13" s="47"/>
      <c r="M13" s="47">
        <f>[1]штати!R41</f>
        <v>1237</v>
      </c>
      <c r="N13" s="47">
        <f>[1]ХПИ!S39</f>
        <v>1237</v>
      </c>
      <c r="O13" s="47"/>
      <c r="P13" s="47"/>
      <c r="Q13" s="47"/>
      <c r="R13" s="47"/>
      <c r="S13" s="49">
        <f t="shared" si="1"/>
        <v>3958</v>
      </c>
      <c r="T13" s="48">
        <f t="shared" si="0"/>
        <v>8904.16</v>
      </c>
      <c r="U13" s="48">
        <f t="shared" si="2"/>
        <v>106849.92</v>
      </c>
    </row>
    <row r="14" spans="1:22" ht="16.2" customHeight="1" x14ac:dyDescent="0.25">
      <c r="A14" s="46">
        <v>5</v>
      </c>
      <c r="B14" s="50" t="s">
        <v>37</v>
      </c>
      <c r="C14" s="47">
        <v>190.5</v>
      </c>
      <c r="D14" s="48">
        <v>937644.27</v>
      </c>
      <c r="E14" s="48"/>
      <c r="F14" s="48"/>
      <c r="G14" s="49">
        <v>186053</v>
      </c>
      <c r="H14" s="48"/>
      <c r="I14" s="49">
        <v>261245</v>
      </c>
      <c r="J14" s="47"/>
      <c r="K14" s="47"/>
      <c r="L14" s="47"/>
      <c r="M14" s="47">
        <v>1329</v>
      </c>
      <c r="N14" s="47">
        <v>5473</v>
      </c>
      <c r="O14" s="47"/>
      <c r="P14" s="47"/>
      <c r="Q14" s="47"/>
      <c r="R14" s="47">
        <v>1985</v>
      </c>
      <c r="S14" s="49">
        <f t="shared" si="1"/>
        <v>456085</v>
      </c>
      <c r="T14" s="48">
        <f t="shared" si="0"/>
        <v>1393729.27</v>
      </c>
      <c r="U14" s="48">
        <f t="shared" si="2"/>
        <v>16724751.24</v>
      </c>
    </row>
    <row r="15" spans="1:22" ht="16.2" customHeight="1" x14ac:dyDescent="0.25">
      <c r="A15" s="46">
        <v>6</v>
      </c>
      <c r="B15" s="50" t="s">
        <v>38</v>
      </c>
      <c r="C15" s="48">
        <v>851</v>
      </c>
      <c r="D15" s="48">
        <v>2980527</v>
      </c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>
        <v>1049188</v>
      </c>
      <c r="S15" s="48">
        <f t="shared" si="1"/>
        <v>1049188</v>
      </c>
      <c r="T15" s="48">
        <f t="shared" si="0"/>
        <v>4029715</v>
      </c>
      <c r="U15" s="48">
        <f t="shared" si="2"/>
        <v>48356580</v>
      </c>
    </row>
    <row r="16" spans="1:22" ht="16.2" customHeight="1" x14ac:dyDescent="0.25">
      <c r="A16" s="46">
        <v>7</v>
      </c>
      <c r="B16" s="50" t="s">
        <v>39</v>
      </c>
      <c r="C16" s="48">
        <v>53.5</v>
      </c>
      <c r="D16" s="48">
        <v>233425</v>
      </c>
      <c r="E16" s="48"/>
      <c r="F16" s="47"/>
      <c r="G16" s="47"/>
      <c r="H16" s="49">
        <f>[1]ХПИ!I383</f>
        <v>116714</v>
      </c>
      <c r="I16" s="49">
        <f>[1]ХПИ!O293</f>
        <v>70033</v>
      </c>
      <c r="J16" s="47"/>
      <c r="K16" s="47"/>
      <c r="L16" s="47"/>
      <c r="M16" s="49">
        <v>1356</v>
      </c>
      <c r="N16" s="49">
        <v>814</v>
      </c>
      <c r="O16" s="47"/>
      <c r="P16" s="47"/>
      <c r="Q16" s="47"/>
      <c r="R16" s="48"/>
      <c r="S16" s="48">
        <f t="shared" si="1"/>
        <v>188917</v>
      </c>
      <c r="T16" s="48">
        <f t="shared" si="0"/>
        <v>422342</v>
      </c>
      <c r="U16" s="48">
        <f t="shared" si="2"/>
        <v>5068104</v>
      </c>
    </row>
    <row r="17" spans="1:21" ht="16.2" customHeight="1" x14ac:dyDescent="0.25">
      <c r="A17" s="46">
        <v>8</v>
      </c>
      <c r="B17" s="51" t="s">
        <v>40</v>
      </c>
      <c r="C17" s="47">
        <v>615</v>
      </c>
      <c r="D17" s="48">
        <v>1449697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>
        <v>30701</v>
      </c>
      <c r="P17" s="47"/>
      <c r="Q17" s="49">
        <f>[1]ХПИ!W387</f>
        <v>62316</v>
      </c>
      <c r="R17" s="48">
        <v>1424247</v>
      </c>
      <c r="S17" s="48">
        <f t="shared" si="1"/>
        <v>1517264</v>
      </c>
      <c r="T17" s="48">
        <f t="shared" si="0"/>
        <v>2966961</v>
      </c>
      <c r="U17" s="48">
        <f t="shared" si="2"/>
        <v>35603532</v>
      </c>
    </row>
    <row r="18" spans="1:21" ht="22.2" customHeight="1" x14ac:dyDescent="0.25">
      <c r="A18" s="47"/>
      <c r="B18" s="52" t="s">
        <v>41</v>
      </c>
      <c r="C18" s="48">
        <f>SUM(C10:C17)</f>
        <v>2580.9</v>
      </c>
      <c r="D18" s="48">
        <f t="shared" ref="D18:U18" si="3">SUM(D10:D17)</f>
        <v>12459445.998500001</v>
      </c>
      <c r="E18" s="49">
        <f t="shared" si="3"/>
        <v>5087</v>
      </c>
      <c r="F18" s="49">
        <f t="shared" si="3"/>
        <v>11145</v>
      </c>
      <c r="G18" s="49">
        <f t="shared" si="3"/>
        <v>186053</v>
      </c>
      <c r="H18" s="49">
        <f t="shared" si="3"/>
        <v>116714</v>
      </c>
      <c r="I18" s="53">
        <f t="shared" si="3"/>
        <v>2088808</v>
      </c>
      <c r="J18" s="49">
        <f t="shared" si="3"/>
        <v>0</v>
      </c>
      <c r="K18" s="49">
        <f t="shared" si="3"/>
        <v>12808</v>
      </c>
      <c r="L18" s="49">
        <f t="shared" si="3"/>
        <v>0</v>
      </c>
      <c r="M18" s="49">
        <f t="shared" si="3"/>
        <v>1319616</v>
      </c>
      <c r="N18" s="49">
        <f t="shared" si="3"/>
        <v>1027630</v>
      </c>
      <c r="O18" s="49">
        <f t="shared" si="3"/>
        <v>30701</v>
      </c>
      <c r="P18" s="49">
        <f t="shared" si="3"/>
        <v>21510</v>
      </c>
      <c r="Q18" s="49">
        <f t="shared" si="3"/>
        <v>85962</v>
      </c>
      <c r="R18" s="48">
        <f t="shared" si="3"/>
        <v>2475420</v>
      </c>
      <c r="S18" s="48">
        <f t="shared" si="3"/>
        <v>7381454</v>
      </c>
      <c r="T18" s="48">
        <f t="shared" si="3"/>
        <v>19840899.998500001</v>
      </c>
      <c r="U18" s="48">
        <f t="shared" si="3"/>
        <v>238090800.002</v>
      </c>
    </row>
    <row r="19" spans="1:21" ht="14.4" customHeight="1" x14ac:dyDescent="0.25">
      <c r="A19" s="47"/>
      <c r="B19" s="52" t="s">
        <v>42</v>
      </c>
      <c r="C19" s="48"/>
      <c r="D19" s="48"/>
      <c r="E19" s="49"/>
      <c r="F19" s="49"/>
      <c r="G19" s="49"/>
      <c r="H19" s="49"/>
      <c r="I19" s="5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48">
        <f>[1]ХПИ!AA385</f>
        <v>937700</v>
      </c>
    </row>
    <row r="20" spans="1:21" ht="14.4" customHeight="1" x14ac:dyDescent="0.25">
      <c r="A20" s="47"/>
      <c r="B20" s="54" t="s">
        <v>43</v>
      </c>
      <c r="C20" s="48"/>
      <c r="D20" s="48"/>
      <c r="E20" s="49"/>
      <c r="F20" s="49"/>
      <c r="G20" s="49"/>
      <c r="H20" s="49"/>
      <c r="I20" s="53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8"/>
      <c r="U20" s="48">
        <f>[1]ХПИ!AA386</f>
        <v>8074200</v>
      </c>
    </row>
    <row r="21" spans="1:21" ht="22.2" customHeight="1" x14ac:dyDescent="0.25">
      <c r="A21" s="47"/>
      <c r="B21" s="55" t="s">
        <v>44</v>
      </c>
      <c r="C21" s="56">
        <f t="shared" ref="C21:T21" si="4">C18</f>
        <v>2580.9</v>
      </c>
      <c r="D21" s="56">
        <f t="shared" si="4"/>
        <v>12459445.998500001</v>
      </c>
      <c r="E21" s="57">
        <f t="shared" si="4"/>
        <v>5087</v>
      </c>
      <c r="F21" s="57">
        <f t="shared" si="4"/>
        <v>11145</v>
      </c>
      <c r="G21" s="57">
        <f t="shared" si="4"/>
        <v>186053</v>
      </c>
      <c r="H21" s="57">
        <f t="shared" si="4"/>
        <v>116714</v>
      </c>
      <c r="I21" s="57">
        <f t="shared" si="4"/>
        <v>2088808</v>
      </c>
      <c r="J21" s="57">
        <f t="shared" si="4"/>
        <v>0</v>
      </c>
      <c r="K21" s="57">
        <f t="shared" si="4"/>
        <v>12808</v>
      </c>
      <c r="L21" s="57">
        <f t="shared" si="4"/>
        <v>0</v>
      </c>
      <c r="M21" s="57">
        <f t="shared" si="4"/>
        <v>1319616</v>
      </c>
      <c r="N21" s="57">
        <f t="shared" si="4"/>
        <v>1027630</v>
      </c>
      <c r="O21" s="57">
        <f t="shared" si="4"/>
        <v>30701</v>
      </c>
      <c r="P21" s="57">
        <f t="shared" si="4"/>
        <v>21510</v>
      </c>
      <c r="Q21" s="57">
        <f t="shared" si="4"/>
        <v>85962</v>
      </c>
      <c r="R21" s="56">
        <f t="shared" si="4"/>
        <v>2475420</v>
      </c>
      <c r="S21" s="56">
        <f t="shared" si="4"/>
        <v>7381454</v>
      </c>
      <c r="T21" s="56">
        <f t="shared" si="4"/>
        <v>19840899.998500001</v>
      </c>
      <c r="U21" s="56">
        <f>U19+U18+U20</f>
        <v>247102700.002</v>
      </c>
    </row>
    <row r="22" spans="1:21" s="61" customFormat="1" ht="16.2" customHeight="1" x14ac:dyDescent="0.25">
      <c r="A22" s="58" t="s">
        <v>45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</row>
    <row r="23" spans="1:21" s="61" customFormat="1" ht="13.5" customHeight="1" x14ac:dyDescent="0.25">
      <c r="A23" s="46">
        <v>1</v>
      </c>
      <c r="B23" s="47" t="s">
        <v>33</v>
      </c>
      <c r="C23" s="47">
        <v>2</v>
      </c>
      <c r="D23" s="48">
        <v>19328.98</v>
      </c>
      <c r="E23" s="49">
        <v>10174</v>
      </c>
      <c r="F23" s="47"/>
      <c r="G23" s="47"/>
      <c r="H23" s="47"/>
      <c r="I23" s="47">
        <v>3866</v>
      </c>
      <c r="J23" s="47">
        <v>2976</v>
      </c>
      <c r="K23" s="47"/>
      <c r="L23" s="47"/>
      <c r="M23" s="47">
        <v>5607</v>
      </c>
      <c r="N23" s="47">
        <v>4833</v>
      </c>
      <c r="O23" s="47"/>
      <c r="P23" s="47"/>
      <c r="Q23" s="47"/>
      <c r="R23" s="47"/>
      <c r="S23" s="49">
        <f>SUM(E23:R23)</f>
        <v>27456</v>
      </c>
      <c r="T23" s="48">
        <f t="shared" ref="T23:T30" si="5">S23+D23</f>
        <v>46784.979999999996</v>
      </c>
      <c r="U23" s="48">
        <f>T23*12</f>
        <v>561419.76</v>
      </c>
    </row>
    <row r="24" spans="1:21" s="61" customFormat="1" ht="12" customHeight="1" x14ac:dyDescent="0.25">
      <c r="A24" s="46">
        <v>2</v>
      </c>
      <c r="B24" s="47" t="s">
        <v>34</v>
      </c>
      <c r="C24" s="47">
        <v>1</v>
      </c>
      <c r="D24" s="48">
        <v>9472.74</v>
      </c>
      <c r="E24" s="48"/>
      <c r="F24" s="47"/>
      <c r="G24" s="47"/>
      <c r="H24" s="47"/>
      <c r="I24" s="47">
        <v>2842</v>
      </c>
      <c r="J24" s="47">
        <v>899</v>
      </c>
      <c r="K24" s="47"/>
      <c r="L24" s="47"/>
      <c r="M24" s="47">
        <v>3127</v>
      </c>
      <c r="N24" s="47">
        <v>2369</v>
      </c>
      <c r="O24" s="47"/>
      <c r="P24" s="47"/>
      <c r="Q24" s="47"/>
      <c r="R24" s="47"/>
      <c r="S24" s="49">
        <f t="shared" ref="S24:S30" si="6">SUM(E24:R24)</f>
        <v>9237</v>
      </c>
      <c r="T24" s="48">
        <f t="shared" si="5"/>
        <v>18709.739999999998</v>
      </c>
      <c r="U24" s="48">
        <f t="shared" ref="U24:U30" si="7">T24*12</f>
        <v>224516.87999999998</v>
      </c>
    </row>
    <row r="25" spans="1:21" s="61" customFormat="1" ht="10.5" customHeight="1" x14ac:dyDescent="0.25">
      <c r="A25" s="46">
        <v>3</v>
      </c>
      <c r="B25" s="47" t="s">
        <v>35</v>
      </c>
      <c r="C25" s="48">
        <f>500.75+1.5</f>
        <v>502.25</v>
      </c>
      <c r="D25" s="48">
        <f>3662080.92+10989.56</f>
        <v>3673070.48</v>
      </c>
      <c r="E25" s="48"/>
      <c r="F25" s="49">
        <v>1699</v>
      </c>
      <c r="G25" s="49"/>
      <c r="H25" s="49"/>
      <c r="I25" s="49">
        <f>736161+2398</f>
        <v>738559</v>
      </c>
      <c r="J25" s="49">
        <v>5192</v>
      </c>
      <c r="K25" s="49">
        <v>3743</v>
      </c>
      <c r="L25" s="49">
        <v>86618</v>
      </c>
      <c r="M25" s="49">
        <f>377518+499</f>
        <v>378017</v>
      </c>
      <c r="N25" s="49">
        <f>357222+600</f>
        <v>357822</v>
      </c>
      <c r="O25" s="47"/>
      <c r="P25" s="49">
        <f>1916+480</f>
        <v>2396</v>
      </c>
      <c r="Q25" s="49">
        <v>14070</v>
      </c>
      <c r="R25" s="49"/>
      <c r="S25" s="49">
        <f>SUM(E25:R25)</f>
        <v>1588116</v>
      </c>
      <c r="T25" s="48">
        <f t="shared" si="5"/>
        <v>5261186.4800000004</v>
      </c>
      <c r="U25" s="48">
        <f>T25*12-0.08</f>
        <v>63134237.680000007</v>
      </c>
    </row>
    <row r="26" spans="1:21" s="61" customFormat="1" ht="10.5" customHeight="1" x14ac:dyDescent="0.25">
      <c r="A26" s="46">
        <v>4</v>
      </c>
      <c r="B26" s="47" t="s">
        <v>36</v>
      </c>
      <c r="C26" s="48">
        <v>1.5</v>
      </c>
      <c r="D26" s="48">
        <v>13250.26</v>
      </c>
      <c r="E26" s="48"/>
      <c r="F26" s="47"/>
      <c r="G26" s="47"/>
      <c r="H26" s="47"/>
      <c r="I26" s="49">
        <v>3976</v>
      </c>
      <c r="J26" s="47"/>
      <c r="K26" s="47"/>
      <c r="L26" s="47"/>
      <c r="M26" s="49">
        <v>3313</v>
      </c>
      <c r="N26" s="49">
        <f>2246+641</f>
        <v>2887</v>
      </c>
      <c r="O26" s="47"/>
      <c r="P26" s="47"/>
      <c r="Q26" s="47"/>
      <c r="R26" s="47"/>
      <c r="S26" s="49">
        <f t="shared" si="6"/>
        <v>10176</v>
      </c>
      <c r="T26" s="48">
        <f t="shared" si="5"/>
        <v>23426.260000000002</v>
      </c>
      <c r="U26" s="48">
        <f t="shared" si="7"/>
        <v>281115.12</v>
      </c>
    </row>
    <row r="27" spans="1:21" s="61" customFormat="1" ht="12" customHeight="1" x14ac:dyDescent="0.25">
      <c r="A27" s="46">
        <v>5</v>
      </c>
      <c r="B27" s="50" t="s">
        <v>37</v>
      </c>
      <c r="C27" s="47">
        <f>31.5+6.25</f>
        <v>37.75</v>
      </c>
      <c r="D27" s="47">
        <f>120159.05+29076.85</f>
        <v>149235.9</v>
      </c>
      <c r="E27" s="47"/>
      <c r="F27" s="47"/>
      <c r="G27" s="47">
        <f>24044+5818</f>
        <v>29862</v>
      </c>
      <c r="H27" s="47"/>
      <c r="I27" s="47">
        <f>35148+7112</f>
        <v>42260</v>
      </c>
      <c r="J27" s="47"/>
      <c r="K27" s="47"/>
      <c r="L27" s="47"/>
      <c r="M27" s="47"/>
      <c r="N27" s="47">
        <v>1323</v>
      </c>
      <c r="O27" s="47">
        <v>8234</v>
      </c>
      <c r="P27" s="47"/>
      <c r="Q27" s="47"/>
      <c r="R27" s="48"/>
      <c r="S27" s="49">
        <f t="shared" si="6"/>
        <v>81679</v>
      </c>
      <c r="T27" s="48">
        <f t="shared" si="5"/>
        <v>230914.9</v>
      </c>
      <c r="U27" s="48">
        <f t="shared" si="7"/>
        <v>2770978.8</v>
      </c>
    </row>
    <row r="28" spans="1:21" s="61" customFormat="1" ht="12.75" customHeight="1" x14ac:dyDescent="0.25">
      <c r="A28" s="46">
        <v>6</v>
      </c>
      <c r="B28" s="50" t="s">
        <v>38</v>
      </c>
      <c r="C28" s="47">
        <f>313.75+5.75</f>
        <v>319.5</v>
      </c>
      <c r="D28" s="48">
        <f>966414.4+20620</f>
        <v>987034.4</v>
      </c>
      <c r="E28" s="47"/>
      <c r="F28" s="47">
        <v>2035</v>
      </c>
      <c r="G28" s="47"/>
      <c r="H28" s="47"/>
      <c r="I28" s="47">
        <v>2959</v>
      </c>
      <c r="J28" s="47">
        <v>5738</v>
      </c>
      <c r="K28" s="47"/>
      <c r="L28" s="47"/>
      <c r="M28" s="47"/>
      <c r="N28" s="47">
        <v>2544</v>
      </c>
      <c r="O28" s="47">
        <v>20374</v>
      </c>
      <c r="P28" s="47"/>
      <c r="Q28" s="47">
        <v>34134</v>
      </c>
      <c r="R28" s="48">
        <f>518883+6537.25</f>
        <v>525420.25</v>
      </c>
      <c r="S28" s="62">
        <f t="shared" si="6"/>
        <v>593204.25</v>
      </c>
      <c r="T28" s="48">
        <f t="shared" si="5"/>
        <v>1580238.65</v>
      </c>
      <c r="U28" s="48">
        <f t="shared" si="7"/>
        <v>18962863.799999997</v>
      </c>
    </row>
    <row r="29" spans="1:21" s="61" customFormat="1" ht="12.75" customHeight="1" x14ac:dyDescent="0.25">
      <c r="A29" s="46">
        <v>7</v>
      </c>
      <c r="B29" s="50" t="s">
        <v>39</v>
      </c>
      <c r="C29" s="47">
        <v>16</v>
      </c>
      <c r="D29" s="47">
        <v>62342</v>
      </c>
      <c r="E29" s="47"/>
      <c r="F29" s="47"/>
      <c r="G29" s="47"/>
      <c r="H29" s="47">
        <v>31172</v>
      </c>
      <c r="I29" s="47">
        <v>13262</v>
      </c>
      <c r="J29" s="47">
        <v>478</v>
      </c>
      <c r="K29" s="47"/>
      <c r="L29" s="47">
        <v>364</v>
      </c>
      <c r="M29" s="47"/>
      <c r="N29" s="47"/>
      <c r="O29" s="47"/>
      <c r="P29" s="47"/>
      <c r="Q29" s="47"/>
      <c r="R29" s="48"/>
      <c r="S29" s="49">
        <f t="shared" si="6"/>
        <v>45276</v>
      </c>
      <c r="T29" s="48">
        <f t="shared" si="5"/>
        <v>107618</v>
      </c>
      <c r="U29" s="48">
        <f t="shared" si="7"/>
        <v>1291416</v>
      </c>
    </row>
    <row r="30" spans="1:21" s="61" customFormat="1" ht="12" customHeight="1" x14ac:dyDescent="0.25">
      <c r="A30" s="46">
        <v>8</v>
      </c>
      <c r="B30" s="51" t="s">
        <v>40</v>
      </c>
      <c r="C30" s="48">
        <f>308.5+2</f>
        <v>310.5</v>
      </c>
      <c r="D30" s="48">
        <f>734875+4676.5</f>
        <v>739551.5</v>
      </c>
      <c r="E30" s="48"/>
      <c r="F30" s="47"/>
      <c r="G30" s="47"/>
      <c r="H30" s="47"/>
      <c r="I30" s="47"/>
      <c r="J30" s="47"/>
      <c r="K30" s="47"/>
      <c r="L30" s="47"/>
      <c r="M30" s="47"/>
      <c r="N30" s="47"/>
      <c r="O30" s="47">
        <v>14953</v>
      </c>
      <c r="P30" s="47"/>
      <c r="Q30" s="47">
        <f>68075+496</f>
        <v>68571</v>
      </c>
      <c r="R30" s="48">
        <f>687069.5+4769.5</f>
        <v>691839</v>
      </c>
      <c r="S30" s="49">
        <f t="shared" si="6"/>
        <v>775363</v>
      </c>
      <c r="T30" s="48">
        <f t="shared" si="5"/>
        <v>1514914.5</v>
      </c>
      <c r="U30" s="48">
        <f t="shared" si="7"/>
        <v>18178974</v>
      </c>
    </row>
    <row r="31" spans="1:21" s="61" customFormat="1" ht="19.5" customHeight="1" x14ac:dyDescent="0.25">
      <c r="A31" s="47"/>
      <c r="B31" s="52" t="s">
        <v>41</v>
      </c>
      <c r="C31" s="48">
        <f>SUM(C23:C30)</f>
        <v>1190.5</v>
      </c>
      <c r="D31" s="48">
        <f t="shared" ref="D31:U31" si="8">SUM(D23:D30)</f>
        <v>5653286.2599999998</v>
      </c>
      <c r="E31" s="49">
        <f t="shared" si="8"/>
        <v>10174</v>
      </c>
      <c r="F31" s="49">
        <f t="shared" si="8"/>
        <v>3734</v>
      </c>
      <c r="G31" s="49">
        <f t="shared" si="8"/>
        <v>29862</v>
      </c>
      <c r="H31" s="49">
        <f t="shared" si="8"/>
        <v>31172</v>
      </c>
      <c r="I31" s="49">
        <f t="shared" si="8"/>
        <v>807724</v>
      </c>
      <c r="J31" s="49">
        <f t="shared" si="8"/>
        <v>15283</v>
      </c>
      <c r="K31" s="49">
        <f t="shared" si="8"/>
        <v>3743</v>
      </c>
      <c r="L31" s="49">
        <f t="shared" si="8"/>
        <v>86982</v>
      </c>
      <c r="M31" s="49">
        <f t="shared" si="8"/>
        <v>390064</v>
      </c>
      <c r="N31" s="49">
        <f t="shared" si="8"/>
        <v>371778</v>
      </c>
      <c r="O31" s="49">
        <f t="shared" si="8"/>
        <v>43561</v>
      </c>
      <c r="P31" s="49">
        <f t="shared" si="8"/>
        <v>2396</v>
      </c>
      <c r="Q31" s="49">
        <f t="shared" si="8"/>
        <v>116775</v>
      </c>
      <c r="R31" s="48">
        <f t="shared" si="8"/>
        <v>1217259.25</v>
      </c>
      <c r="S31" s="62">
        <f t="shared" si="8"/>
        <v>3130507.25</v>
      </c>
      <c r="T31" s="48">
        <f t="shared" si="8"/>
        <v>8783793.5099999998</v>
      </c>
      <c r="U31" s="48">
        <f t="shared" si="8"/>
        <v>105405522.03999999</v>
      </c>
    </row>
    <row r="32" spans="1:21" s="61" customFormat="1" ht="12.6" customHeight="1" x14ac:dyDescent="0.25">
      <c r="A32" s="47"/>
      <c r="B32" s="47" t="s">
        <v>46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>
        <f>28000+30001.08+7500</f>
        <v>65501.08</v>
      </c>
      <c r="U32" s="48">
        <f>T32*12</f>
        <v>786012.96</v>
      </c>
    </row>
    <row r="33" spans="1:21" s="61" customFormat="1" ht="15" customHeight="1" x14ac:dyDescent="0.25">
      <c r="A33" s="47"/>
      <c r="B33" s="52" t="str">
        <f>[1]ХПИ!B692</f>
        <v>Доплата на оздоровлення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8">
        <f>[1]ХПИ!AA692</f>
        <v>110000</v>
      </c>
    </row>
    <row r="34" spans="1:21" s="61" customFormat="1" ht="15" customHeight="1" x14ac:dyDescent="0.25">
      <c r="A34" s="47"/>
      <c r="B34" s="52" t="s">
        <v>42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48">
        <v>24000</v>
      </c>
    </row>
    <row r="35" spans="1:21" s="61" customFormat="1" ht="20.25" customHeight="1" x14ac:dyDescent="0.25">
      <c r="A35" s="47"/>
      <c r="B35" s="55" t="s">
        <v>47</v>
      </c>
      <c r="C35" s="56">
        <f t="shared" ref="C35:T35" si="9">SUM(C31:C32)</f>
        <v>1190.5</v>
      </c>
      <c r="D35" s="56">
        <f t="shared" si="9"/>
        <v>5653286.2599999998</v>
      </c>
      <c r="E35" s="57">
        <f t="shared" si="9"/>
        <v>10174</v>
      </c>
      <c r="F35" s="57">
        <f t="shared" si="9"/>
        <v>3734</v>
      </c>
      <c r="G35" s="57">
        <f t="shared" si="9"/>
        <v>29862</v>
      </c>
      <c r="H35" s="57">
        <f t="shared" si="9"/>
        <v>31172</v>
      </c>
      <c r="I35" s="57">
        <f t="shared" si="9"/>
        <v>807724</v>
      </c>
      <c r="J35" s="57">
        <f t="shared" si="9"/>
        <v>15283</v>
      </c>
      <c r="K35" s="57">
        <f t="shared" si="9"/>
        <v>3743</v>
      </c>
      <c r="L35" s="57">
        <f t="shared" si="9"/>
        <v>86982</v>
      </c>
      <c r="M35" s="57">
        <f t="shared" si="9"/>
        <v>390064</v>
      </c>
      <c r="N35" s="57">
        <f t="shared" si="9"/>
        <v>371778</v>
      </c>
      <c r="O35" s="57">
        <f t="shared" si="9"/>
        <v>43561</v>
      </c>
      <c r="P35" s="57">
        <f t="shared" si="9"/>
        <v>2396</v>
      </c>
      <c r="Q35" s="57">
        <f t="shared" si="9"/>
        <v>116775</v>
      </c>
      <c r="R35" s="56">
        <f t="shared" si="9"/>
        <v>1217259.25</v>
      </c>
      <c r="S35" s="56">
        <f t="shared" si="9"/>
        <v>3130507.25</v>
      </c>
      <c r="T35" s="56">
        <f t="shared" si="9"/>
        <v>8849294.5899999999</v>
      </c>
      <c r="U35" s="56">
        <f>U31+U32+U33+U34</f>
        <v>106325534.99999999</v>
      </c>
    </row>
    <row r="36" spans="1:21" s="61" customFormat="1" ht="15.75" customHeight="1" x14ac:dyDescent="0.25">
      <c r="A36" s="63"/>
      <c r="B36" s="64" t="s">
        <v>48</v>
      </c>
      <c r="C36" s="56">
        <f t="shared" ref="C36:U36" si="10">C21+C35</f>
        <v>3771.4</v>
      </c>
      <c r="D36" s="56">
        <f t="shared" si="10"/>
        <v>18112732.258500002</v>
      </c>
      <c r="E36" s="57">
        <f t="shared" si="10"/>
        <v>15261</v>
      </c>
      <c r="F36" s="57">
        <f t="shared" si="10"/>
        <v>14879</v>
      </c>
      <c r="G36" s="57">
        <f t="shared" si="10"/>
        <v>215915</v>
      </c>
      <c r="H36" s="57">
        <f t="shared" si="10"/>
        <v>147886</v>
      </c>
      <c r="I36" s="65">
        <f t="shared" si="10"/>
        <v>2896532</v>
      </c>
      <c r="J36" s="57">
        <f t="shared" si="10"/>
        <v>15283</v>
      </c>
      <c r="K36" s="57">
        <f t="shared" si="10"/>
        <v>16551</v>
      </c>
      <c r="L36" s="57">
        <f t="shared" si="10"/>
        <v>86982</v>
      </c>
      <c r="M36" s="57">
        <f t="shared" si="10"/>
        <v>1709680</v>
      </c>
      <c r="N36" s="57">
        <f t="shared" si="10"/>
        <v>1399408</v>
      </c>
      <c r="O36" s="57">
        <f t="shared" si="10"/>
        <v>74262</v>
      </c>
      <c r="P36" s="57">
        <f t="shared" si="10"/>
        <v>23906</v>
      </c>
      <c r="Q36" s="57">
        <f t="shared" si="10"/>
        <v>202737</v>
      </c>
      <c r="R36" s="56">
        <f t="shared" si="10"/>
        <v>3692679.25</v>
      </c>
      <c r="S36" s="56">
        <f t="shared" si="10"/>
        <v>10511961.25</v>
      </c>
      <c r="T36" s="56">
        <f t="shared" si="10"/>
        <v>28690194.588500001</v>
      </c>
      <c r="U36" s="56">
        <f t="shared" si="10"/>
        <v>353428235.00199997</v>
      </c>
    </row>
    <row r="37" spans="1:21" s="61" customFormat="1" ht="9.75" customHeight="1" x14ac:dyDescent="0.25"/>
    <row r="38" spans="1:21" s="61" customFormat="1" ht="1.5" hidden="1" customHeight="1" x14ac:dyDescent="0.25"/>
    <row r="39" spans="1:21" s="61" customFormat="1" ht="15.6" customHeight="1" x14ac:dyDescent="0.25">
      <c r="B39" s="66" t="str">
        <f>[1]ХПИ!G696</f>
        <v>Ректор НТУ"ХПІ"</v>
      </c>
      <c r="G39" s="66" t="str">
        <f>[1]ХПИ!S696</f>
        <v>Євген СОКОЛ</v>
      </c>
      <c r="L39" s="61" t="s">
        <v>49</v>
      </c>
      <c r="S39" s="61" t="s">
        <v>50</v>
      </c>
    </row>
    <row r="40" spans="1:21" s="61" customFormat="1" ht="15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1" s="61" customFormat="1" x14ac:dyDescent="0.25"/>
    <row r="42" spans="1:21" s="61" customFormat="1" x14ac:dyDescent="0.25"/>
    <row r="43" spans="1:21" s="61" customFormat="1" x14ac:dyDescent="0.25"/>
    <row r="44" spans="1:21" s="61" customFormat="1" x14ac:dyDescent="0.25"/>
    <row r="45" spans="1:21" s="61" customFormat="1" x14ac:dyDescent="0.25"/>
    <row r="46" spans="1:21" s="61" customFormat="1" x14ac:dyDescent="0.25"/>
    <row r="47" spans="1:21" s="61" customFormat="1" x14ac:dyDescent="0.25"/>
  </sheetData>
  <mergeCells count="22">
    <mergeCell ref="O5:O7"/>
    <mergeCell ref="P5:P7"/>
    <mergeCell ref="Q5:Q7"/>
    <mergeCell ref="R5:R7"/>
    <mergeCell ref="A9:U9"/>
    <mergeCell ref="A22:U22"/>
    <mergeCell ref="I5:I7"/>
    <mergeCell ref="J5:J7"/>
    <mergeCell ref="K5:K7"/>
    <mergeCell ref="L5:L7"/>
    <mergeCell ref="M5:M7"/>
    <mergeCell ref="N5:N7"/>
    <mergeCell ref="B1:T1"/>
    <mergeCell ref="A2:T2"/>
    <mergeCell ref="C4:C7"/>
    <mergeCell ref="D4:D7"/>
    <mergeCell ref="E4:K4"/>
    <mergeCell ref="M4:Q4"/>
    <mergeCell ref="E5:E7"/>
    <mergeCell ref="F5:F7"/>
    <mergeCell ref="G5:G7"/>
    <mergeCell ref="H5:H7"/>
  </mergeCells>
  <pageMargins left="0.2" right="0.19" top="0" bottom="0" header="0" footer="0.51181102362204722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звед</vt:lpstr>
      <vt:lpstr>звед!Заголовки_для_печати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Воликова</dc:creator>
  <cp:lastModifiedBy>Валентина Воликова</cp:lastModifiedBy>
  <dcterms:created xsi:type="dcterms:W3CDTF">2020-01-29T07:31:07Z</dcterms:created>
  <dcterms:modified xsi:type="dcterms:W3CDTF">2020-01-29T07:33:35Z</dcterms:modified>
</cp:coreProperties>
</file>