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FO\SCHTAT\2018\"/>
    </mc:Choice>
  </mc:AlternateContent>
  <bookViews>
    <workbookView xWindow="0" yWindow="0" windowWidth="23040" windowHeight="9408"/>
  </bookViews>
  <sheets>
    <sheet name="звед" sheetId="1" r:id="rId1"/>
  </sheets>
  <externalReferences>
    <externalReference r:id="rId2"/>
  </externalReferences>
  <definedNames>
    <definedName name="_xlnm.Print_Titles" localSheetId="0">звед!$8:$8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U33" i="1"/>
  <c r="U32" i="1"/>
  <c r="T32" i="1"/>
  <c r="O31" i="1"/>
  <c r="O35" i="1" s="1"/>
  <c r="H31" i="1"/>
  <c r="H35" i="1" s="1"/>
  <c r="F31" i="1"/>
  <c r="F35" i="1" s="1"/>
  <c r="R30" i="1"/>
  <c r="Q30" i="1"/>
  <c r="S30" i="1" s="1"/>
  <c r="T30" i="1" s="1"/>
  <c r="U30" i="1" s="1"/>
  <c r="D30" i="1"/>
  <c r="C30" i="1"/>
  <c r="S29" i="1"/>
  <c r="T29" i="1" s="1"/>
  <c r="U29" i="1" s="1"/>
  <c r="R28" i="1"/>
  <c r="R31" i="1" s="1"/>
  <c r="R35" i="1" s="1"/>
  <c r="D28" i="1"/>
  <c r="C28" i="1"/>
  <c r="I27" i="1"/>
  <c r="G27" i="1"/>
  <c r="G31" i="1" s="1"/>
  <c r="G35" i="1" s="1"/>
  <c r="D27" i="1"/>
  <c r="C27" i="1"/>
  <c r="S26" i="1"/>
  <c r="T26" i="1" s="1"/>
  <c r="U26" i="1" s="1"/>
  <c r="Q25" i="1"/>
  <c r="Q31" i="1" s="1"/>
  <c r="Q35" i="1" s="1"/>
  <c r="P25" i="1"/>
  <c r="P31" i="1" s="1"/>
  <c r="P35" i="1" s="1"/>
  <c r="N25" i="1"/>
  <c r="M25" i="1"/>
  <c r="L25" i="1"/>
  <c r="L31" i="1" s="1"/>
  <c r="L35" i="1" s="1"/>
  <c r="K25" i="1"/>
  <c r="K31" i="1" s="1"/>
  <c r="K35" i="1" s="1"/>
  <c r="J25" i="1"/>
  <c r="I25" i="1"/>
  <c r="S25" i="1" s="1"/>
  <c r="T25" i="1" s="1"/>
  <c r="U25" i="1" s="1"/>
  <c r="D25" i="1"/>
  <c r="C25" i="1"/>
  <c r="N24" i="1"/>
  <c r="M24" i="1"/>
  <c r="J24" i="1"/>
  <c r="I24" i="1"/>
  <c r="S24" i="1" s="1"/>
  <c r="T24" i="1" s="1"/>
  <c r="U24" i="1" s="1"/>
  <c r="D24" i="1"/>
  <c r="C24" i="1"/>
  <c r="N23" i="1"/>
  <c r="N31" i="1" s="1"/>
  <c r="N35" i="1" s="1"/>
  <c r="M23" i="1"/>
  <c r="M31" i="1" s="1"/>
  <c r="M35" i="1" s="1"/>
  <c r="J23" i="1"/>
  <c r="J31" i="1" s="1"/>
  <c r="J35" i="1" s="1"/>
  <c r="I23" i="1"/>
  <c r="I31" i="1" s="1"/>
  <c r="I35" i="1" s="1"/>
  <c r="E23" i="1"/>
  <c r="E31" i="1" s="1"/>
  <c r="E35" i="1" s="1"/>
  <c r="D23" i="1"/>
  <c r="D31" i="1" s="1"/>
  <c r="D35" i="1" s="1"/>
  <c r="C23" i="1"/>
  <c r="C31" i="1" s="1"/>
  <c r="C35" i="1" s="1"/>
  <c r="U20" i="1"/>
  <c r="B20" i="1"/>
  <c r="U19" i="1"/>
  <c r="R18" i="1"/>
  <c r="R21" i="1" s="1"/>
  <c r="R36" i="1" s="1"/>
  <c r="O18" i="1"/>
  <c r="O21" i="1" s="1"/>
  <c r="O36" i="1" s="1"/>
  <c r="L18" i="1"/>
  <c r="L21" i="1" s="1"/>
  <c r="L36" i="1" s="1"/>
  <c r="J18" i="1"/>
  <c r="J21" i="1" s="1"/>
  <c r="J36" i="1" s="1"/>
  <c r="Q17" i="1"/>
  <c r="S17" i="1" s="1"/>
  <c r="T17" i="1" s="1"/>
  <c r="U17" i="1" s="1"/>
  <c r="I16" i="1"/>
  <c r="H16" i="1"/>
  <c r="H18" i="1" s="1"/>
  <c r="H21" i="1" s="1"/>
  <c r="H36" i="1" s="1"/>
  <c r="S15" i="1"/>
  <c r="T15" i="1" s="1"/>
  <c r="U15" i="1" s="1"/>
  <c r="G14" i="1"/>
  <c r="S14" i="1" s="1"/>
  <c r="T14" i="1" s="1"/>
  <c r="U14" i="1" s="1"/>
  <c r="N13" i="1"/>
  <c r="M13" i="1"/>
  <c r="I13" i="1"/>
  <c r="S13" i="1" s="1"/>
  <c r="T13" i="1" s="1"/>
  <c r="U13" i="1" s="1"/>
  <c r="D13" i="1"/>
  <c r="C13" i="1"/>
  <c r="Q12" i="1"/>
  <c r="Q18" i="1" s="1"/>
  <c r="Q21" i="1" s="1"/>
  <c r="Q36" i="1" s="1"/>
  <c r="P12" i="1"/>
  <c r="P18" i="1" s="1"/>
  <c r="P21" i="1" s="1"/>
  <c r="P36" i="1" s="1"/>
  <c r="N12" i="1"/>
  <c r="M12" i="1"/>
  <c r="K12" i="1"/>
  <c r="K18" i="1" s="1"/>
  <c r="K21" i="1" s="1"/>
  <c r="K36" i="1" s="1"/>
  <c r="I12" i="1"/>
  <c r="F12" i="1"/>
  <c r="S12" i="1" s="1"/>
  <c r="T12" i="1" s="1"/>
  <c r="U12" i="1" s="1"/>
  <c r="D12" i="1"/>
  <c r="C12" i="1"/>
  <c r="N11" i="1"/>
  <c r="M11" i="1"/>
  <c r="I11" i="1"/>
  <c r="S11" i="1" s="1"/>
  <c r="T11" i="1" s="1"/>
  <c r="U11" i="1" s="1"/>
  <c r="D11" i="1"/>
  <c r="C11" i="1"/>
  <c r="N10" i="1"/>
  <c r="N18" i="1" s="1"/>
  <c r="N21" i="1" s="1"/>
  <c r="N36" i="1" s="1"/>
  <c r="M10" i="1"/>
  <c r="M18" i="1" s="1"/>
  <c r="M21" i="1" s="1"/>
  <c r="M36" i="1" s="1"/>
  <c r="I10" i="1"/>
  <c r="I18" i="1" s="1"/>
  <c r="I21" i="1" s="1"/>
  <c r="I36" i="1" s="1"/>
  <c r="F10" i="1"/>
  <c r="F18" i="1" s="1"/>
  <c r="F21" i="1" s="1"/>
  <c r="F36" i="1" s="1"/>
  <c r="E10" i="1"/>
  <c r="S10" i="1" s="1"/>
  <c r="D10" i="1"/>
  <c r="D18" i="1" s="1"/>
  <c r="D21" i="1" s="1"/>
  <c r="D36" i="1" s="1"/>
  <c r="C10" i="1"/>
  <c r="C18" i="1" s="1"/>
  <c r="C21" i="1" s="1"/>
  <c r="C36" i="1" s="1"/>
  <c r="T10" i="1" l="1"/>
  <c r="E18" i="1"/>
  <c r="E21" i="1" s="1"/>
  <c r="E36" i="1" s="1"/>
  <c r="G18" i="1"/>
  <c r="G21" i="1" s="1"/>
  <c r="G36" i="1" s="1"/>
  <c r="S23" i="1"/>
  <c r="S27" i="1"/>
  <c r="T27" i="1" s="1"/>
  <c r="U27" i="1" s="1"/>
  <c r="S28" i="1"/>
  <c r="T28" i="1" s="1"/>
  <c r="U28" i="1" s="1"/>
  <c r="S16" i="1"/>
  <c r="T16" i="1" s="1"/>
  <c r="U16" i="1" s="1"/>
  <c r="S31" i="1" l="1"/>
  <c r="S35" i="1" s="1"/>
  <c r="T23" i="1"/>
  <c r="S18" i="1"/>
  <c r="S21" i="1" s="1"/>
  <c r="S36" i="1" s="1"/>
  <c r="T18" i="1"/>
  <c r="T21" i="1" s="1"/>
  <c r="U10" i="1"/>
  <c r="U18" i="1" s="1"/>
  <c r="U21" i="1" s="1"/>
  <c r="T31" i="1" l="1"/>
  <c r="T35" i="1" s="1"/>
  <c r="T36" i="1" s="1"/>
  <c r="U23" i="1"/>
  <c r="U31" i="1" s="1"/>
  <c r="U35" i="1" s="1"/>
  <c r="U36" i="1" s="1"/>
</calcChain>
</file>

<file path=xl/sharedStrings.xml><?xml version="1.0" encoding="utf-8"?>
<sst xmlns="http://schemas.openxmlformats.org/spreadsheetml/2006/main" count="66" uniqueCount="53">
  <si>
    <t>Зведений штатний розпис на  2018 рік</t>
  </si>
  <si>
    <t>Н а ц і о н а л ь н и й    т е х н і ч н и й    у н і в е р с и т е т   "ХПІ"</t>
  </si>
  <si>
    <t>з 01.09.2018</t>
  </si>
  <si>
    <t>№п\п</t>
  </si>
  <si>
    <t>Назва структурного</t>
  </si>
  <si>
    <t>Кільк.шт.од.</t>
  </si>
  <si>
    <t xml:space="preserve">Разом по окладах ЄТС </t>
  </si>
  <si>
    <t>Надбавки(грн)</t>
  </si>
  <si>
    <t>Доплати (грн.)</t>
  </si>
  <si>
    <t>Разом</t>
  </si>
  <si>
    <t>Фонд</t>
  </si>
  <si>
    <t xml:space="preserve"> підрозділу та посад</t>
  </si>
  <si>
    <t>Згідно постанови КМУ №134 від 07.02.2001</t>
  </si>
  <si>
    <t>"Заслуж."</t>
  </si>
  <si>
    <t>Педагогічному персоналу 20%</t>
  </si>
  <si>
    <t>За особливі умови праці</t>
  </si>
  <si>
    <t>Вислуга років</t>
  </si>
  <si>
    <t>За працю в умовах реж.обмеж.</t>
  </si>
  <si>
    <t>Спортивне звання</t>
  </si>
  <si>
    <t xml:space="preserve">За володіння інозем.мовою </t>
  </si>
  <si>
    <t>вчене звання</t>
  </si>
  <si>
    <t>наукова ступень</t>
  </si>
  <si>
    <t>Праця в шкідл.умовах,прибир.туалетів</t>
  </si>
  <si>
    <t>За зав.кафед.</t>
  </si>
  <si>
    <t>Зам.декан,бригад.,класн., майстерн.ночн.,н.р.д.</t>
  </si>
  <si>
    <t>Доплата до 3723 грн.</t>
  </si>
  <si>
    <t>доплати</t>
  </si>
  <si>
    <t>заробітної</t>
  </si>
  <si>
    <t>та надб.</t>
  </si>
  <si>
    <t xml:space="preserve">плати на </t>
  </si>
  <si>
    <t>місяць</t>
  </si>
  <si>
    <t xml:space="preserve"> 2018 РІК</t>
  </si>
  <si>
    <t>Загальний фонд</t>
  </si>
  <si>
    <t>АУП (ректор, проректори)</t>
  </si>
  <si>
    <t>АУП (директор,декани)</t>
  </si>
  <si>
    <t>ПВС</t>
  </si>
  <si>
    <t>інші НПП</t>
  </si>
  <si>
    <t>Педагогічні працівники</t>
  </si>
  <si>
    <t>Спеціалісти</t>
  </si>
  <si>
    <t>Бібліотекарі</t>
  </si>
  <si>
    <t>Робітники</t>
  </si>
  <si>
    <t>Разом по всіх категоріях працівників</t>
  </si>
  <si>
    <t>Щорічна винагорода пед.прац.</t>
  </si>
  <si>
    <t>Разом по загальному фонду</t>
  </si>
  <si>
    <t>Спеціальний фонд</t>
  </si>
  <si>
    <t>Погодинний фонд</t>
  </si>
  <si>
    <t>фзп січень-серпень</t>
  </si>
  <si>
    <t>Разом по cпеціальному фонду</t>
  </si>
  <si>
    <t>Разом по ВУЗу</t>
  </si>
  <si>
    <t>Т.в.о.ректора НТУ"ХПІ"</t>
  </si>
  <si>
    <t>Р.П.Мигущенко</t>
  </si>
  <si>
    <t>Начальник ПФВ</t>
  </si>
  <si>
    <t>Н.М.Горбатенко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</si>
</sst>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charset val="204"/>
    </font>
    <font>
      <sz val="6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textRotation="90" wrapText="1"/>
    </xf>
    <xf numFmtId="0" fontId="10" fillId="0" borderId="7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7" fillId="0" borderId="7" xfId="0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10" xfId="0" applyFont="1" applyFill="1" applyBorder="1"/>
    <xf numFmtId="0" fontId="7" fillId="0" borderId="9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0" xfId="0" applyFont="1" applyFill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/>
    <xf numFmtId="2" fontId="13" fillId="0" borderId="11" xfId="0" applyNumberFormat="1" applyFont="1" applyFill="1" applyBorder="1"/>
    <xf numFmtId="1" fontId="13" fillId="0" borderId="11" xfId="0" applyNumberFormat="1" applyFont="1" applyFill="1" applyBorder="1"/>
    <xf numFmtId="2" fontId="14" fillId="0" borderId="11" xfId="0" applyNumberFormat="1" applyFont="1" applyFill="1" applyBorder="1"/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" fillId="0" borderId="0" xfId="0" applyFont="1" applyFill="1"/>
    <xf numFmtId="164" fontId="13" fillId="0" borderId="11" xfId="0" applyNumberFormat="1" applyFont="1" applyFill="1" applyBorder="1"/>
    <xf numFmtId="0" fontId="1" fillId="0" borderId="11" xfId="0" applyFont="1" applyFill="1" applyBorder="1"/>
    <xf numFmtId="0" fontId="5" fillId="0" borderId="11" xfId="0" applyFont="1" applyFill="1" applyBorder="1"/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5;&#1086;&#1077;%20&#1089;%2001.09.18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"/>
      <sheetName val="звед с 1.09 хпи"/>
      <sheetName val="якіс хпи"/>
      <sheetName val="якісн"/>
      <sheetName val="ХПИ"/>
      <sheetName val="штати"/>
      <sheetName val="увп"/>
      <sheetName val="посади"/>
    </sheetNames>
    <sheetDataSet>
      <sheetData sheetId="0"/>
      <sheetData sheetId="1"/>
      <sheetData sheetId="2"/>
      <sheetData sheetId="3"/>
      <sheetData sheetId="4">
        <row r="22">
          <cell r="F22">
            <v>7682</v>
          </cell>
          <cell r="N22">
            <v>2305</v>
          </cell>
          <cell r="P22">
            <v>2536</v>
          </cell>
          <cell r="R22">
            <v>1921</v>
          </cell>
        </row>
        <row r="23">
          <cell r="F23">
            <v>36490</v>
          </cell>
          <cell r="N23">
            <v>10218</v>
          </cell>
          <cell r="P23">
            <v>7226</v>
          </cell>
          <cell r="Q23">
            <v>3649</v>
          </cell>
          <cell r="R23">
            <v>5474</v>
          </cell>
          <cell r="S23">
            <v>2190</v>
          </cell>
        </row>
        <row r="24">
          <cell r="C24">
            <v>5</v>
          </cell>
          <cell r="F24">
            <v>35770</v>
          </cell>
          <cell r="N24">
            <v>35770</v>
          </cell>
          <cell r="P24">
            <v>2361</v>
          </cell>
          <cell r="Q24">
            <v>5366</v>
          </cell>
          <cell r="R24">
            <v>1789</v>
          </cell>
          <cell r="S24">
            <v>4293</v>
          </cell>
        </row>
        <row r="25">
          <cell r="C25">
            <v>5</v>
          </cell>
          <cell r="F25">
            <v>33920</v>
          </cell>
          <cell r="N25">
            <v>40704</v>
          </cell>
          <cell r="P25">
            <v>2239</v>
          </cell>
          <cell r="Q25">
            <v>6784</v>
          </cell>
          <cell r="R25">
            <v>3392</v>
          </cell>
          <cell r="S25">
            <v>3053</v>
          </cell>
        </row>
        <row r="26">
          <cell r="C26">
            <v>5</v>
          </cell>
          <cell r="F26">
            <v>32225</v>
          </cell>
          <cell r="N26">
            <v>41893</v>
          </cell>
          <cell r="Q26">
            <v>6445</v>
          </cell>
          <cell r="S26">
            <v>4834</v>
          </cell>
        </row>
        <row r="38">
          <cell r="C38">
            <v>916.3</v>
          </cell>
          <cell r="F38">
            <v>5411923</v>
          </cell>
        </row>
        <row r="301">
          <cell r="N301">
            <v>50504</v>
          </cell>
        </row>
        <row r="393">
          <cell r="H393">
            <v>100803</v>
          </cell>
          <cell r="I393">
            <v>144780</v>
          </cell>
        </row>
        <row r="395">
          <cell r="Z395">
            <v>730116</v>
          </cell>
        </row>
        <row r="396">
          <cell r="B396" t="str">
            <v>ФЗП січень-серпень</v>
          </cell>
          <cell r="Z396">
            <v>142572200</v>
          </cell>
        </row>
        <row r="397">
          <cell r="V397">
            <v>106808</v>
          </cell>
        </row>
        <row r="402">
          <cell r="G402">
            <v>7682</v>
          </cell>
          <cell r="J402">
            <v>1153</v>
          </cell>
        </row>
        <row r="403">
          <cell r="C403">
            <v>2</v>
          </cell>
          <cell r="F403">
            <v>14596</v>
          </cell>
          <cell r="J403">
            <v>1095</v>
          </cell>
          <cell r="N403">
            <v>2920</v>
          </cell>
          <cell r="P403">
            <v>2409</v>
          </cell>
          <cell r="Q403">
            <v>1825</v>
          </cell>
          <cell r="R403">
            <v>3649</v>
          </cell>
        </row>
        <row r="404">
          <cell r="J404">
            <v>679</v>
          </cell>
        </row>
        <row r="405">
          <cell r="C405">
            <v>1</v>
          </cell>
          <cell r="F405">
            <v>7154</v>
          </cell>
          <cell r="N405">
            <v>2147</v>
          </cell>
          <cell r="P405">
            <v>2361</v>
          </cell>
          <cell r="R405">
            <v>1789</v>
          </cell>
        </row>
        <row r="419">
          <cell r="C419">
            <v>596.9</v>
          </cell>
          <cell r="F419">
            <v>3245510</v>
          </cell>
          <cell r="J419">
            <v>3922</v>
          </cell>
          <cell r="L419">
            <v>1967</v>
          </cell>
          <cell r="M419">
            <v>69686</v>
          </cell>
          <cell r="N419">
            <v>633334</v>
          </cell>
          <cell r="O419">
            <v>7232</v>
          </cell>
          <cell r="P419">
            <v>52449</v>
          </cell>
          <cell r="Q419">
            <v>194271</v>
          </cell>
          <cell r="R419">
            <v>54964</v>
          </cell>
          <cell r="S419">
            <v>207605</v>
          </cell>
          <cell r="U419">
            <v>1768</v>
          </cell>
        </row>
        <row r="708">
          <cell r="Z708">
            <v>100000</v>
          </cell>
        </row>
      </sheetData>
      <sheetData sheetId="5">
        <row r="22">
          <cell r="C22">
            <v>1</v>
          </cell>
          <cell r="G22">
            <v>3841</v>
          </cell>
        </row>
        <row r="23">
          <cell r="C23">
            <v>5</v>
          </cell>
          <cell r="K23">
            <v>1460</v>
          </cell>
        </row>
        <row r="38">
          <cell r="K38">
            <v>17047</v>
          </cell>
          <cell r="L38">
            <v>16085</v>
          </cell>
          <cell r="N38">
            <v>1529299.5</v>
          </cell>
          <cell r="O38">
            <v>17857</v>
          </cell>
          <cell r="P38">
            <v>361128</v>
          </cell>
          <cell r="Q38">
            <v>688521</v>
          </cell>
          <cell r="R38">
            <v>315036</v>
          </cell>
          <cell r="S38">
            <v>496136</v>
          </cell>
          <cell r="U38">
            <v>15447</v>
          </cell>
        </row>
        <row r="40">
          <cell r="C40">
            <v>1</v>
          </cell>
          <cell r="F40">
            <v>3735</v>
          </cell>
        </row>
        <row r="41">
          <cell r="N41">
            <v>1121</v>
          </cell>
          <cell r="Q41">
            <v>934</v>
          </cell>
          <cell r="S41">
            <v>561</v>
          </cell>
        </row>
        <row r="419">
          <cell r="Y419">
            <v>905966.53</v>
          </cell>
          <cell r="Z419">
            <v>3623866.1</v>
          </cell>
        </row>
        <row r="741">
          <cell r="Z741">
            <v>45726333.899999999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V47"/>
  <sheetViews>
    <sheetView tabSelected="1" view="pageBreakPreview" topLeftCell="A13" zoomScaleNormal="100" zoomScaleSheetLayoutView="100" workbookViewId="0">
      <selection activeCell="G39" sqref="G39"/>
    </sheetView>
  </sheetViews>
  <sheetFormatPr defaultColWidth="9.109375" defaultRowHeight="13.2" x14ac:dyDescent="0.25"/>
  <cols>
    <col min="1" max="1" width="2.88671875" style="4" customWidth="1"/>
    <col min="2" max="2" width="21" style="4" customWidth="1"/>
    <col min="3" max="3" width="5.88671875" style="4" customWidth="1"/>
    <col min="4" max="4" width="9.109375" style="4" customWidth="1"/>
    <col min="5" max="5" width="4.77734375" style="4" customWidth="1"/>
    <col min="6" max="6" width="5.6640625" style="4" customWidth="1"/>
    <col min="7" max="7" width="6.33203125" style="4" customWidth="1"/>
    <col min="8" max="8" width="5.5546875" style="4" customWidth="1"/>
    <col min="9" max="9" width="6.88671875" style="4" customWidth="1"/>
    <col min="10" max="10" width="4.44140625" style="4" customWidth="1"/>
    <col min="11" max="11" width="5" style="4" customWidth="1"/>
    <col min="12" max="12" width="5.21875" style="4" customWidth="1"/>
    <col min="13" max="13" width="6.109375" style="4" customWidth="1"/>
    <col min="14" max="14" width="6" style="4" customWidth="1"/>
    <col min="15" max="15" width="5" style="4" customWidth="1"/>
    <col min="16" max="16" width="4.6640625" style="4" customWidth="1"/>
    <col min="17" max="17" width="6.33203125" style="4" customWidth="1"/>
    <col min="18" max="19" width="8.109375" style="4" customWidth="1"/>
    <col min="20" max="20" width="9.5546875" style="4" customWidth="1"/>
    <col min="21" max="21" width="9.77734375" style="4" customWidth="1"/>
    <col min="22" max="16384" width="9.109375" style="4"/>
  </cols>
  <sheetData>
    <row r="1" spans="1:22" ht="15.6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1.4" customHeight="1" x14ac:dyDescent="0.25">
      <c r="B3" s="5" t="s">
        <v>2</v>
      </c>
    </row>
    <row r="4" spans="1:22" ht="12.75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11"/>
      <c r="J4" s="11"/>
      <c r="K4" s="11"/>
      <c r="L4" s="12"/>
      <c r="M4" s="13" t="s">
        <v>8</v>
      </c>
      <c r="N4" s="14"/>
      <c r="O4" s="14"/>
      <c r="P4" s="14"/>
      <c r="Q4" s="15"/>
      <c r="R4" s="16"/>
      <c r="S4" s="17" t="s">
        <v>9</v>
      </c>
      <c r="T4" s="18" t="s">
        <v>10</v>
      </c>
      <c r="U4" s="19" t="s">
        <v>10</v>
      </c>
      <c r="V4" s="20"/>
    </row>
    <row r="5" spans="1:22" ht="12.75" customHeight="1" x14ac:dyDescent="0.25">
      <c r="A5" s="21"/>
      <c r="B5" s="22" t="s">
        <v>11</v>
      </c>
      <c r="C5" s="23"/>
      <c r="D5" s="24"/>
      <c r="E5" s="25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26" t="s">
        <v>25</v>
      </c>
      <c r="S5" s="27" t="s">
        <v>26</v>
      </c>
      <c r="T5" s="28" t="s">
        <v>27</v>
      </c>
      <c r="U5" s="29" t="s">
        <v>27</v>
      </c>
      <c r="V5" s="20"/>
    </row>
    <row r="6" spans="1:22" x14ac:dyDescent="0.25">
      <c r="A6" s="21"/>
      <c r="B6" s="30"/>
      <c r="C6" s="23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31"/>
      <c r="S6" s="27" t="s">
        <v>28</v>
      </c>
      <c r="T6" s="28" t="s">
        <v>29</v>
      </c>
      <c r="U6" s="29" t="s">
        <v>29</v>
      </c>
      <c r="V6" s="20"/>
    </row>
    <row r="7" spans="1:22" ht="34.200000000000003" customHeight="1" x14ac:dyDescent="0.25">
      <c r="A7" s="32"/>
      <c r="B7" s="33"/>
      <c r="C7" s="34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7"/>
      <c r="S7" s="38"/>
      <c r="T7" s="39" t="s">
        <v>30</v>
      </c>
      <c r="U7" s="40" t="s">
        <v>31</v>
      </c>
      <c r="V7" s="20"/>
    </row>
    <row r="8" spans="1:22" s="42" customFormat="1" ht="9.6" customHeight="1" x14ac:dyDescent="0.2">
      <c r="A8" s="41">
        <v>1</v>
      </c>
      <c r="B8" s="41">
        <v>2</v>
      </c>
      <c r="C8" s="41">
        <v>3</v>
      </c>
      <c r="D8" s="41">
        <v>5</v>
      </c>
      <c r="E8" s="41"/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</row>
    <row r="9" spans="1:22" ht="16.2" customHeight="1" x14ac:dyDescent="0.25">
      <c r="A9" s="43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</row>
    <row r="10" spans="1:22" ht="16.2" customHeight="1" x14ac:dyDescent="0.25">
      <c r="A10" s="46">
        <v>1</v>
      </c>
      <c r="B10" s="47" t="s">
        <v>33</v>
      </c>
      <c r="C10" s="47">
        <f>[1]штати!C22+[1]штати!C23</f>
        <v>6</v>
      </c>
      <c r="D10" s="48">
        <f>[1]ХПИ!F22+[1]ХПИ!F23</f>
        <v>44172</v>
      </c>
      <c r="E10" s="49">
        <f>[1]штати!G22</f>
        <v>3841</v>
      </c>
      <c r="F10" s="47">
        <f>[1]штати!K22+[1]штати!K23</f>
        <v>1460</v>
      </c>
      <c r="G10" s="47"/>
      <c r="H10" s="47"/>
      <c r="I10" s="47">
        <f>[1]ХПИ!N22+[1]ХПИ!N23</f>
        <v>12523</v>
      </c>
      <c r="J10" s="47"/>
      <c r="K10" s="47"/>
      <c r="L10" s="47"/>
      <c r="M10" s="47">
        <f>[1]ХПИ!P22+[1]ХПИ!Q22+[1]ХПИ!P23+[1]ХПИ!Q23</f>
        <v>13411</v>
      </c>
      <c r="N10" s="47">
        <f>[1]ХПИ!R22+[1]ХПИ!S22+[1]ХПИ!R23+[1]ХПИ!S23</f>
        <v>9585</v>
      </c>
      <c r="O10" s="47"/>
      <c r="P10" s="47"/>
      <c r="Q10" s="47"/>
      <c r="R10" s="47"/>
      <c r="S10" s="49">
        <f>SUM(E10:R10)</f>
        <v>40820</v>
      </c>
      <c r="T10" s="48">
        <f t="shared" ref="T10:T17" si="0">S10+D10</f>
        <v>84992</v>
      </c>
      <c r="U10" s="48">
        <f>T10*4</f>
        <v>339968</v>
      </c>
    </row>
    <row r="11" spans="1:22" ht="16.2" customHeight="1" x14ac:dyDescent="0.25">
      <c r="A11" s="46">
        <v>2</v>
      </c>
      <c r="B11" s="47" t="s">
        <v>34</v>
      </c>
      <c r="C11" s="47">
        <f>[1]ХПИ!C24+[1]ХПИ!C25+[1]ХПИ!C26</f>
        <v>15</v>
      </c>
      <c r="D11" s="48">
        <f>[1]ХПИ!F24+[1]ХПИ!F25+[1]ХПИ!F26</f>
        <v>101915</v>
      </c>
      <c r="E11" s="48"/>
      <c r="F11" s="47"/>
      <c r="G11" s="47"/>
      <c r="H11" s="47"/>
      <c r="I11" s="47">
        <f>[1]ХПИ!N24+[1]ХПИ!N25+[1]ХПИ!N26</f>
        <v>118367</v>
      </c>
      <c r="J11" s="47"/>
      <c r="K11" s="47"/>
      <c r="L11" s="47"/>
      <c r="M11" s="47">
        <f>[1]ХПИ!P24+[1]ХПИ!P25+[1]ХПИ!P26+[1]ХПИ!Q24+[1]ХПИ!Q25+[1]ХПИ!Q26</f>
        <v>23195</v>
      </c>
      <c r="N11" s="47">
        <f>[1]ХПИ!R24+[1]ХПИ!S24+[1]ХПИ!R25+[1]ХПИ!S25+[1]ХПИ!R26+[1]ХПИ!S26</f>
        <v>17361</v>
      </c>
      <c r="O11" s="47"/>
      <c r="P11" s="47"/>
      <c r="Q11" s="47"/>
      <c r="R11" s="47"/>
      <c r="S11" s="49">
        <f t="shared" ref="S11:S17" si="1">SUM(E11:R11)</f>
        <v>158923</v>
      </c>
      <c r="T11" s="48">
        <f t="shared" si="0"/>
        <v>260838</v>
      </c>
      <c r="U11" s="48">
        <f t="shared" ref="U11:U16" si="2">T11*4</f>
        <v>1043352</v>
      </c>
    </row>
    <row r="12" spans="1:22" ht="16.2" customHeight="1" x14ac:dyDescent="0.25">
      <c r="A12" s="46">
        <v>3</v>
      </c>
      <c r="B12" s="47" t="s">
        <v>35</v>
      </c>
      <c r="C12" s="48">
        <f>[1]ХПИ!C38</f>
        <v>916.3</v>
      </c>
      <c r="D12" s="48">
        <f>[1]ХПИ!F38</f>
        <v>5411923</v>
      </c>
      <c r="E12" s="48"/>
      <c r="F12" s="47">
        <f>[1]штати!K38</f>
        <v>17047</v>
      </c>
      <c r="G12" s="47"/>
      <c r="H12" s="47"/>
      <c r="I12" s="50">
        <f>[1]штати!N38</f>
        <v>1529299.5</v>
      </c>
      <c r="J12" s="47"/>
      <c r="K12" s="47">
        <f>[1]штати!L38</f>
        <v>16085</v>
      </c>
      <c r="L12" s="47"/>
      <c r="M12" s="49">
        <f>[1]штати!P38+[1]штати!Q38</f>
        <v>1049649</v>
      </c>
      <c r="N12" s="49">
        <f>[1]штати!R38+[1]штати!S38</f>
        <v>811172</v>
      </c>
      <c r="O12" s="47"/>
      <c r="P12" s="47">
        <f>[1]штати!U38</f>
        <v>15447</v>
      </c>
      <c r="Q12" s="47">
        <f>[1]штати!O38</f>
        <v>17857</v>
      </c>
      <c r="R12" s="47"/>
      <c r="S12" s="48">
        <f t="shared" si="1"/>
        <v>3456556.5</v>
      </c>
      <c r="T12" s="48">
        <f t="shared" si="0"/>
        <v>8868479.5</v>
      </c>
      <c r="U12" s="48">
        <f t="shared" si="2"/>
        <v>35473918</v>
      </c>
    </row>
    <row r="13" spans="1:22" ht="16.2" customHeight="1" x14ac:dyDescent="0.25">
      <c r="A13" s="46">
        <v>4</v>
      </c>
      <c r="B13" s="47" t="s">
        <v>36</v>
      </c>
      <c r="C13" s="47">
        <f>[1]штати!C40</f>
        <v>1</v>
      </c>
      <c r="D13" s="48">
        <f>[1]штати!F40</f>
        <v>3735</v>
      </c>
      <c r="E13" s="48"/>
      <c r="F13" s="47"/>
      <c r="G13" s="47"/>
      <c r="H13" s="47"/>
      <c r="I13" s="47">
        <f>[1]штати!N41</f>
        <v>1121</v>
      </c>
      <c r="J13" s="47"/>
      <c r="K13" s="47"/>
      <c r="L13" s="47"/>
      <c r="M13" s="47">
        <f>[1]штати!Q41</f>
        <v>934</v>
      </c>
      <c r="N13" s="47">
        <f>[1]штати!S41</f>
        <v>561</v>
      </c>
      <c r="O13" s="47"/>
      <c r="P13" s="47"/>
      <c r="Q13" s="47"/>
      <c r="R13" s="47"/>
      <c r="S13" s="49">
        <f t="shared" si="1"/>
        <v>2616</v>
      </c>
      <c r="T13" s="48">
        <f t="shared" si="0"/>
        <v>6351</v>
      </c>
      <c r="U13" s="48">
        <f t="shared" si="2"/>
        <v>25404</v>
      </c>
    </row>
    <row r="14" spans="1:22" ht="16.2" customHeight="1" x14ac:dyDescent="0.25">
      <c r="A14" s="46">
        <v>5</v>
      </c>
      <c r="B14" s="51" t="s">
        <v>37</v>
      </c>
      <c r="C14" s="47">
        <v>194.5</v>
      </c>
      <c r="D14" s="48">
        <v>730116.5</v>
      </c>
      <c r="E14" s="48"/>
      <c r="F14" s="48"/>
      <c r="G14" s="49">
        <f>[1]ХПИ!I393</f>
        <v>144780</v>
      </c>
      <c r="H14" s="48"/>
      <c r="I14" s="49">
        <v>211777</v>
      </c>
      <c r="J14" s="47"/>
      <c r="K14" s="47"/>
      <c r="L14" s="47"/>
      <c r="M14" s="47">
        <v>1013</v>
      </c>
      <c r="N14" s="47">
        <v>4169</v>
      </c>
      <c r="O14" s="47"/>
      <c r="P14" s="47"/>
      <c r="Q14" s="47"/>
      <c r="R14" s="47">
        <v>1192</v>
      </c>
      <c r="S14" s="49">
        <f t="shared" si="1"/>
        <v>362931</v>
      </c>
      <c r="T14" s="48">
        <f t="shared" si="0"/>
        <v>1093047.5</v>
      </c>
      <c r="U14" s="48">
        <f t="shared" si="2"/>
        <v>4372190</v>
      </c>
    </row>
    <row r="15" spans="1:22" ht="16.2" customHeight="1" x14ac:dyDescent="0.25">
      <c r="A15" s="46">
        <v>6</v>
      </c>
      <c r="B15" s="51" t="s">
        <v>38</v>
      </c>
      <c r="C15" s="48">
        <v>936.25</v>
      </c>
      <c r="D15" s="48">
        <v>2742173.5</v>
      </c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>
        <v>753612.25</v>
      </c>
      <c r="S15" s="48">
        <f t="shared" si="1"/>
        <v>753612.25</v>
      </c>
      <c r="T15" s="48">
        <f t="shared" si="0"/>
        <v>3495785.75</v>
      </c>
      <c r="U15" s="48">
        <f t="shared" si="2"/>
        <v>13983143</v>
      </c>
    </row>
    <row r="16" spans="1:22" ht="16.2" customHeight="1" x14ac:dyDescent="0.25">
      <c r="A16" s="46">
        <v>7</v>
      </c>
      <c r="B16" s="51" t="s">
        <v>39</v>
      </c>
      <c r="C16" s="48">
        <v>55.5</v>
      </c>
      <c r="D16" s="48">
        <v>201601</v>
      </c>
      <c r="E16" s="48"/>
      <c r="F16" s="47"/>
      <c r="G16" s="47"/>
      <c r="H16" s="49">
        <f>[1]ХПИ!H393</f>
        <v>100803</v>
      </c>
      <c r="I16" s="49">
        <f>[1]ХПИ!N301</f>
        <v>50504</v>
      </c>
      <c r="J16" s="47"/>
      <c r="K16" s="47"/>
      <c r="L16" s="47"/>
      <c r="M16" s="49">
        <v>1137</v>
      </c>
      <c r="N16" s="49">
        <v>682</v>
      </c>
      <c r="O16" s="47"/>
      <c r="P16" s="47"/>
      <c r="Q16" s="47"/>
      <c r="R16" s="48"/>
      <c r="S16" s="48">
        <f t="shared" si="1"/>
        <v>153126</v>
      </c>
      <c r="T16" s="48">
        <f t="shared" si="0"/>
        <v>354727</v>
      </c>
      <c r="U16" s="48">
        <f t="shared" si="2"/>
        <v>1418908</v>
      </c>
    </row>
    <row r="17" spans="1:21" ht="16.2" customHeight="1" x14ac:dyDescent="0.25">
      <c r="A17" s="46">
        <v>8</v>
      </c>
      <c r="B17" s="52" t="s">
        <v>40</v>
      </c>
      <c r="C17" s="47">
        <v>623.75</v>
      </c>
      <c r="D17" s="47">
        <v>1234209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>
        <v>25743</v>
      </c>
      <c r="P17" s="47"/>
      <c r="Q17" s="49">
        <f>[1]ХПИ!V397</f>
        <v>106808</v>
      </c>
      <c r="R17" s="48">
        <v>1062269.25</v>
      </c>
      <c r="S17" s="48">
        <f t="shared" si="1"/>
        <v>1194820.25</v>
      </c>
      <c r="T17" s="48">
        <f t="shared" si="0"/>
        <v>2429029.25</v>
      </c>
      <c r="U17" s="48">
        <f>T17*4</f>
        <v>9716117</v>
      </c>
    </row>
    <row r="18" spans="1:21" ht="22.2" customHeight="1" x14ac:dyDescent="0.25">
      <c r="A18" s="47"/>
      <c r="B18" s="53" t="s">
        <v>41</v>
      </c>
      <c r="C18" s="48">
        <f>SUM(C10:C17)</f>
        <v>2748.3</v>
      </c>
      <c r="D18" s="48">
        <f t="shared" ref="D18:U18" si="3">SUM(D10:D17)</f>
        <v>10469845</v>
      </c>
      <c r="E18" s="49">
        <f t="shared" si="3"/>
        <v>3841</v>
      </c>
      <c r="F18" s="49">
        <f t="shared" si="3"/>
        <v>18507</v>
      </c>
      <c r="G18" s="49">
        <f t="shared" si="3"/>
        <v>144780</v>
      </c>
      <c r="H18" s="49">
        <f t="shared" si="3"/>
        <v>100803</v>
      </c>
      <c r="I18" s="50">
        <f t="shared" si="3"/>
        <v>1923591.5</v>
      </c>
      <c r="J18" s="49">
        <f t="shared" si="3"/>
        <v>0</v>
      </c>
      <c r="K18" s="49">
        <f t="shared" si="3"/>
        <v>16085</v>
      </c>
      <c r="L18" s="49">
        <f t="shared" si="3"/>
        <v>0</v>
      </c>
      <c r="M18" s="49">
        <f t="shared" si="3"/>
        <v>1089339</v>
      </c>
      <c r="N18" s="49">
        <f t="shared" si="3"/>
        <v>843530</v>
      </c>
      <c r="O18" s="49">
        <f t="shared" si="3"/>
        <v>25743</v>
      </c>
      <c r="P18" s="49">
        <f t="shared" si="3"/>
        <v>15447</v>
      </c>
      <c r="Q18" s="49">
        <f t="shared" si="3"/>
        <v>124665</v>
      </c>
      <c r="R18" s="48">
        <f t="shared" si="3"/>
        <v>1817073.5</v>
      </c>
      <c r="S18" s="48">
        <f t="shared" si="3"/>
        <v>6123405</v>
      </c>
      <c r="T18" s="48">
        <f t="shared" si="3"/>
        <v>16593250</v>
      </c>
      <c r="U18" s="48">
        <f t="shared" si="3"/>
        <v>66373000</v>
      </c>
    </row>
    <row r="19" spans="1:21" ht="14.4" customHeight="1" x14ac:dyDescent="0.25">
      <c r="A19" s="47"/>
      <c r="B19" s="53" t="s">
        <v>42</v>
      </c>
      <c r="C19" s="48"/>
      <c r="D19" s="48"/>
      <c r="E19" s="49"/>
      <c r="F19" s="49"/>
      <c r="G19" s="49"/>
      <c r="H19" s="49"/>
      <c r="I19" s="5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8">
        <f>[1]ХПИ!Z395</f>
        <v>730116</v>
      </c>
    </row>
    <row r="20" spans="1:21" ht="14.4" customHeight="1" x14ac:dyDescent="0.25">
      <c r="A20" s="47"/>
      <c r="B20" s="53" t="str">
        <f>[1]ХПИ!B396</f>
        <v>ФЗП січень-серпень</v>
      </c>
      <c r="C20" s="48"/>
      <c r="D20" s="48"/>
      <c r="E20" s="49"/>
      <c r="F20" s="49"/>
      <c r="G20" s="49"/>
      <c r="H20" s="49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8"/>
      <c r="U20" s="48">
        <f>[1]ХПИ!Z396</f>
        <v>142572200</v>
      </c>
    </row>
    <row r="21" spans="1:21" ht="22.2" customHeight="1" x14ac:dyDescent="0.25">
      <c r="A21" s="47"/>
      <c r="B21" s="54" t="s">
        <v>43</v>
      </c>
      <c r="C21" s="55">
        <f t="shared" ref="C21:T21" si="4">C18</f>
        <v>2748.3</v>
      </c>
      <c r="D21" s="55">
        <f t="shared" si="4"/>
        <v>10469845</v>
      </c>
      <c r="E21" s="56">
        <f t="shared" si="4"/>
        <v>3841</v>
      </c>
      <c r="F21" s="56">
        <f t="shared" si="4"/>
        <v>18507</v>
      </c>
      <c r="G21" s="56">
        <f t="shared" si="4"/>
        <v>144780</v>
      </c>
      <c r="H21" s="56">
        <f t="shared" si="4"/>
        <v>100803</v>
      </c>
      <c r="I21" s="57">
        <f t="shared" si="4"/>
        <v>1923591.5</v>
      </c>
      <c r="J21" s="56">
        <f t="shared" si="4"/>
        <v>0</v>
      </c>
      <c r="K21" s="56">
        <f t="shared" si="4"/>
        <v>16085</v>
      </c>
      <c r="L21" s="56">
        <f t="shared" si="4"/>
        <v>0</v>
      </c>
      <c r="M21" s="56">
        <f t="shared" si="4"/>
        <v>1089339</v>
      </c>
      <c r="N21" s="56">
        <f t="shared" si="4"/>
        <v>843530</v>
      </c>
      <c r="O21" s="56">
        <f t="shared" si="4"/>
        <v>25743</v>
      </c>
      <c r="P21" s="56">
        <f t="shared" si="4"/>
        <v>15447</v>
      </c>
      <c r="Q21" s="56">
        <f t="shared" si="4"/>
        <v>124665</v>
      </c>
      <c r="R21" s="55">
        <f t="shared" si="4"/>
        <v>1817073.5</v>
      </c>
      <c r="S21" s="55">
        <f t="shared" si="4"/>
        <v>6123405</v>
      </c>
      <c r="T21" s="55">
        <f t="shared" si="4"/>
        <v>16593250</v>
      </c>
      <c r="U21" s="55">
        <f>U19+U18+U20</f>
        <v>209675316</v>
      </c>
    </row>
    <row r="22" spans="1:21" s="61" customFormat="1" ht="16.2" customHeight="1" x14ac:dyDescent="0.25">
      <c r="A22" s="58" t="s">
        <v>44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</row>
    <row r="23" spans="1:21" s="61" customFormat="1" ht="13.5" customHeight="1" x14ac:dyDescent="0.25">
      <c r="A23" s="46">
        <v>1</v>
      </c>
      <c r="B23" s="47" t="s">
        <v>33</v>
      </c>
      <c r="C23" s="47">
        <f>[1]ХПИ!C403</f>
        <v>2</v>
      </c>
      <c r="D23" s="48">
        <f>[1]ХПИ!F402+[1]ХПИ!F403</f>
        <v>14596</v>
      </c>
      <c r="E23" s="49">
        <f>[1]ХПИ!G402</f>
        <v>7682</v>
      </c>
      <c r="F23" s="47"/>
      <c r="G23" s="47"/>
      <c r="H23" s="47"/>
      <c r="I23" s="47">
        <f>[1]ХПИ!N402+[1]ХПИ!N403</f>
        <v>2920</v>
      </c>
      <c r="J23" s="47">
        <f>[1]ХПИ!J402+[1]ХПИ!J403</f>
        <v>2248</v>
      </c>
      <c r="K23" s="47"/>
      <c r="L23" s="47"/>
      <c r="M23" s="47">
        <f>[1]ХПИ!P403+[1]ХПИ!Q403</f>
        <v>4234</v>
      </c>
      <c r="N23" s="47">
        <f>[1]ХПИ!R403</f>
        <v>3649</v>
      </c>
      <c r="O23" s="47"/>
      <c r="P23" s="47"/>
      <c r="Q23" s="47"/>
      <c r="R23" s="47"/>
      <c r="S23" s="49">
        <f>SUM(E23:R23)</f>
        <v>20733</v>
      </c>
      <c r="T23" s="48">
        <f t="shared" ref="T23:T30" si="5">S23+D23</f>
        <v>35329</v>
      </c>
      <c r="U23" s="48">
        <f>T23*4</f>
        <v>141316</v>
      </c>
    </row>
    <row r="24" spans="1:21" s="61" customFormat="1" ht="12" customHeight="1" x14ac:dyDescent="0.25">
      <c r="A24" s="46">
        <v>2</v>
      </c>
      <c r="B24" s="47" t="s">
        <v>34</v>
      </c>
      <c r="C24" s="47">
        <f>[1]ХПИ!C405</f>
        <v>1</v>
      </c>
      <c r="D24" s="48">
        <f>[1]ХПИ!F405</f>
        <v>7154</v>
      </c>
      <c r="E24" s="48"/>
      <c r="F24" s="47"/>
      <c r="G24" s="47"/>
      <c r="H24" s="47"/>
      <c r="I24" s="47">
        <f>[1]ХПИ!N405</f>
        <v>2147</v>
      </c>
      <c r="J24" s="47">
        <f>[1]ХПИ!J404</f>
        <v>679</v>
      </c>
      <c r="K24" s="47"/>
      <c r="L24" s="47"/>
      <c r="M24" s="47">
        <f>[1]ХПИ!P405+[1]ХПИ!Q405</f>
        <v>2361</v>
      </c>
      <c r="N24" s="47">
        <f>[1]ХПИ!R405+[1]ХПИ!S405</f>
        <v>1789</v>
      </c>
      <c r="O24" s="47"/>
      <c r="P24" s="47"/>
      <c r="Q24" s="47"/>
      <c r="R24" s="47"/>
      <c r="S24" s="49">
        <f t="shared" ref="S24:S30" si="6">SUM(E24:R24)</f>
        <v>6976</v>
      </c>
      <c r="T24" s="48">
        <f t="shared" si="5"/>
        <v>14130</v>
      </c>
      <c r="U24" s="48">
        <f t="shared" ref="U24:U30" si="7">T24*4</f>
        <v>56520</v>
      </c>
    </row>
    <row r="25" spans="1:21" s="61" customFormat="1" ht="10.5" customHeight="1" x14ac:dyDescent="0.25">
      <c r="A25" s="46">
        <v>3</v>
      </c>
      <c r="B25" s="47" t="s">
        <v>35</v>
      </c>
      <c r="C25" s="48">
        <f>[1]ХПИ!C419+4</f>
        <v>600.9</v>
      </c>
      <c r="D25" s="48">
        <f>[1]ХПИ!F419+22254</f>
        <v>3267764</v>
      </c>
      <c r="E25" s="48"/>
      <c r="F25" s="49"/>
      <c r="G25" s="49"/>
      <c r="H25" s="49"/>
      <c r="I25" s="49">
        <f>[1]ХПИ!N419+4905</f>
        <v>638239</v>
      </c>
      <c r="J25" s="49">
        <f>[1]ХПИ!J419</f>
        <v>3922</v>
      </c>
      <c r="K25" s="49">
        <f>[1]ХПИ!L419</f>
        <v>1967</v>
      </c>
      <c r="L25" s="49">
        <f>[1]ХПИ!M419</f>
        <v>69686</v>
      </c>
      <c r="M25" s="49">
        <f>[1]ХПИ!P419+[1]ХПИ!Q419+377</f>
        <v>247097</v>
      </c>
      <c r="N25" s="49">
        <f>[1]ХПИ!R419+[1]ХПИ!S419+1356</f>
        <v>263925</v>
      </c>
      <c r="O25" s="47"/>
      <c r="P25" s="49">
        <f>[1]ХПИ!U419+905</f>
        <v>2673</v>
      </c>
      <c r="Q25" s="49">
        <f>[1]ХПИ!O419</f>
        <v>7232</v>
      </c>
      <c r="R25" s="49"/>
      <c r="S25" s="49">
        <f t="shared" si="6"/>
        <v>1234741</v>
      </c>
      <c r="T25" s="48">
        <f t="shared" si="5"/>
        <v>4502505</v>
      </c>
      <c r="U25" s="48">
        <f t="shared" si="7"/>
        <v>18010020</v>
      </c>
    </row>
    <row r="26" spans="1:21" s="61" customFormat="1" ht="10.5" customHeight="1" x14ac:dyDescent="0.25">
      <c r="A26" s="46">
        <v>4</v>
      </c>
      <c r="B26" s="47" t="s">
        <v>36</v>
      </c>
      <c r="C26" s="48">
        <v>1.5</v>
      </c>
      <c r="D26" s="48">
        <v>10006.5</v>
      </c>
      <c r="E26" s="48"/>
      <c r="F26" s="47"/>
      <c r="G26" s="47"/>
      <c r="H26" s="47"/>
      <c r="I26" s="49">
        <v>3003</v>
      </c>
      <c r="J26" s="47"/>
      <c r="K26" s="47"/>
      <c r="L26" s="47"/>
      <c r="M26" s="49">
        <v>2502</v>
      </c>
      <c r="N26" s="49">
        <v>1502</v>
      </c>
      <c r="O26" s="47"/>
      <c r="P26" s="47"/>
      <c r="Q26" s="47"/>
      <c r="R26" s="47"/>
      <c r="S26" s="49">
        <f t="shared" si="6"/>
        <v>7007</v>
      </c>
      <c r="T26" s="48">
        <f t="shared" si="5"/>
        <v>17013.5</v>
      </c>
      <c r="U26" s="48">
        <f t="shared" si="7"/>
        <v>68054</v>
      </c>
    </row>
    <row r="27" spans="1:21" s="61" customFormat="1" ht="12" customHeight="1" x14ac:dyDescent="0.25">
      <c r="A27" s="46">
        <v>5</v>
      </c>
      <c r="B27" s="51" t="s">
        <v>37</v>
      </c>
      <c r="C27" s="47">
        <f>34+6.25</f>
        <v>40.25</v>
      </c>
      <c r="D27" s="47">
        <f>100124+21627.75</f>
        <v>121751.75</v>
      </c>
      <c r="E27" s="47"/>
      <c r="F27" s="47"/>
      <c r="G27" s="47">
        <f>20033+4327</f>
        <v>24360</v>
      </c>
      <c r="H27" s="47"/>
      <c r="I27" s="47">
        <f>7848+5261</f>
        <v>13109</v>
      </c>
      <c r="J27" s="47"/>
      <c r="K27" s="47"/>
      <c r="L27" s="47"/>
      <c r="M27" s="47"/>
      <c r="N27" s="47">
        <v>600</v>
      </c>
      <c r="O27" s="47">
        <v>6274</v>
      </c>
      <c r="P27" s="47"/>
      <c r="Q27" s="47"/>
      <c r="R27" s="48">
        <v>9646</v>
      </c>
      <c r="S27" s="49">
        <f t="shared" si="6"/>
        <v>53989</v>
      </c>
      <c r="T27" s="48">
        <f t="shared" si="5"/>
        <v>175740.75</v>
      </c>
      <c r="U27" s="48">
        <f t="shared" si="7"/>
        <v>702963</v>
      </c>
    </row>
    <row r="28" spans="1:21" s="61" customFormat="1" ht="12.75" customHeight="1" x14ac:dyDescent="0.25">
      <c r="A28" s="46">
        <v>6</v>
      </c>
      <c r="B28" s="51" t="s">
        <v>38</v>
      </c>
      <c r="C28" s="47">
        <f>355.5+7.25</f>
        <v>362.75</v>
      </c>
      <c r="D28" s="47">
        <f>930574-317+21205.25</f>
        <v>951462.25</v>
      </c>
      <c r="E28" s="47"/>
      <c r="F28" s="47">
        <v>1537</v>
      </c>
      <c r="G28" s="47"/>
      <c r="H28" s="47"/>
      <c r="I28" s="47">
        <v>2480</v>
      </c>
      <c r="J28" s="47">
        <v>3176</v>
      </c>
      <c r="K28" s="47"/>
      <c r="L28" s="47"/>
      <c r="M28" s="47"/>
      <c r="N28" s="47">
        <v>1921</v>
      </c>
      <c r="O28" s="47">
        <v>16710</v>
      </c>
      <c r="P28" s="47"/>
      <c r="Q28" s="47">
        <v>66681</v>
      </c>
      <c r="R28" s="48">
        <f>395930.5+317+5789.5</f>
        <v>402037</v>
      </c>
      <c r="S28" s="62">
        <f t="shared" si="6"/>
        <v>494542</v>
      </c>
      <c r="T28" s="48">
        <f t="shared" si="5"/>
        <v>1446004.25</v>
      </c>
      <c r="U28" s="48">
        <f t="shared" si="7"/>
        <v>5784017</v>
      </c>
    </row>
    <row r="29" spans="1:21" s="61" customFormat="1" ht="12.75" customHeight="1" x14ac:dyDescent="0.25">
      <c r="A29" s="46">
        <v>7</v>
      </c>
      <c r="B29" s="51" t="s">
        <v>39</v>
      </c>
      <c r="C29" s="47">
        <v>16</v>
      </c>
      <c r="D29" s="47">
        <v>52258</v>
      </c>
      <c r="E29" s="47"/>
      <c r="F29" s="47"/>
      <c r="G29" s="47"/>
      <c r="H29" s="47">
        <v>26131</v>
      </c>
      <c r="I29" s="47">
        <v>11117</v>
      </c>
      <c r="J29" s="47">
        <v>400</v>
      </c>
      <c r="K29" s="47"/>
      <c r="L29" s="47">
        <v>305</v>
      </c>
      <c r="M29" s="47"/>
      <c r="N29" s="47"/>
      <c r="O29" s="47"/>
      <c r="P29" s="47"/>
      <c r="Q29" s="47"/>
      <c r="R29" s="48"/>
      <c r="S29" s="49">
        <f t="shared" si="6"/>
        <v>37953</v>
      </c>
      <c r="T29" s="48">
        <f t="shared" si="5"/>
        <v>90211</v>
      </c>
      <c r="U29" s="48">
        <f t="shared" si="7"/>
        <v>360844</v>
      </c>
    </row>
    <row r="30" spans="1:21" s="61" customFormat="1" ht="12" customHeight="1" x14ac:dyDescent="0.25">
      <c r="A30" s="46">
        <v>8</v>
      </c>
      <c r="B30" s="52" t="s">
        <v>40</v>
      </c>
      <c r="C30" s="48">
        <f>311.5+6</f>
        <v>317.5</v>
      </c>
      <c r="D30" s="48">
        <f>622804.5+12158</f>
        <v>634962.5</v>
      </c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>
        <v>12541</v>
      </c>
      <c r="P30" s="47"/>
      <c r="Q30" s="47">
        <f>104328+1400</f>
        <v>105728</v>
      </c>
      <c r="R30" s="48">
        <f>507480+10180</f>
        <v>517660</v>
      </c>
      <c r="S30" s="49">
        <f t="shared" si="6"/>
        <v>635929</v>
      </c>
      <c r="T30" s="48">
        <f t="shared" si="5"/>
        <v>1270891.5</v>
      </c>
      <c r="U30" s="48">
        <f t="shared" si="7"/>
        <v>5083566</v>
      </c>
    </row>
    <row r="31" spans="1:21" s="61" customFormat="1" ht="19.5" customHeight="1" x14ac:dyDescent="0.25">
      <c r="A31" s="47"/>
      <c r="B31" s="53" t="s">
        <v>41</v>
      </c>
      <c r="C31" s="48">
        <f>SUM(C23:C30)</f>
        <v>1341.9</v>
      </c>
      <c r="D31" s="48">
        <f t="shared" ref="D31:U31" si="8">SUM(D23:D30)</f>
        <v>5059955</v>
      </c>
      <c r="E31" s="49">
        <f t="shared" si="8"/>
        <v>7682</v>
      </c>
      <c r="F31" s="49">
        <f t="shared" si="8"/>
        <v>1537</v>
      </c>
      <c r="G31" s="49">
        <f t="shared" si="8"/>
        <v>24360</v>
      </c>
      <c r="H31" s="49">
        <f t="shared" si="8"/>
        <v>26131</v>
      </c>
      <c r="I31" s="49">
        <f t="shared" si="8"/>
        <v>673015</v>
      </c>
      <c r="J31" s="49">
        <f t="shared" si="8"/>
        <v>10425</v>
      </c>
      <c r="K31" s="49">
        <f t="shared" si="8"/>
        <v>1967</v>
      </c>
      <c r="L31" s="49">
        <f t="shared" si="8"/>
        <v>69991</v>
      </c>
      <c r="M31" s="49">
        <f t="shared" si="8"/>
        <v>256194</v>
      </c>
      <c r="N31" s="49">
        <f t="shared" si="8"/>
        <v>273386</v>
      </c>
      <c r="O31" s="49">
        <f t="shared" si="8"/>
        <v>35525</v>
      </c>
      <c r="P31" s="49">
        <f t="shared" si="8"/>
        <v>2673</v>
      </c>
      <c r="Q31" s="49">
        <f t="shared" si="8"/>
        <v>179641</v>
      </c>
      <c r="R31" s="48">
        <f t="shared" si="8"/>
        <v>929343</v>
      </c>
      <c r="S31" s="62">
        <f t="shared" si="8"/>
        <v>2491870</v>
      </c>
      <c r="T31" s="48">
        <f t="shared" si="8"/>
        <v>7551825</v>
      </c>
      <c r="U31" s="48">
        <f t="shared" si="8"/>
        <v>30207300</v>
      </c>
    </row>
    <row r="32" spans="1:21" s="61" customFormat="1" ht="12.6" customHeight="1" x14ac:dyDescent="0.25">
      <c r="A32" s="47"/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>
        <f>[1]штати!Y419</f>
        <v>905966.53</v>
      </c>
      <c r="U32" s="48">
        <f>[1]штати!Z419</f>
        <v>3623866.1</v>
      </c>
    </row>
    <row r="33" spans="1:21" s="61" customFormat="1" ht="15" customHeight="1" x14ac:dyDescent="0.25">
      <c r="A33" s="47"/>
      <c r="B33" s="53" t="s">
        <v>42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8">
        <f>[1]ХПИ!Z708</f>
        <v>100000</v>
      </c>
    </row>
    <row r="34" spans="1:21" s="61" customFormat="1" ht="12.6" customHeight="1" x14ac:dyDescent="0.25">
      <c r="A34" s="47"/>
      <c r="B34" s="53" t="s">
        <v>46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8">
        <f>[1]штати!Z741</f>
        <v>45726333.899999999</v>
      </c>
    </row>
    <row r="35" spans="1:21" s="61" customFormat="1" ht="20.25" customHeight="1" x14ac:dyDescent="0.25">
      <c r="A35" s="47"/>
      <c r="B35" s="54" t="s">
        <v>47</v>
      </c>
      <c r="C35" s="55">
        <f t="shared" ref="C35:T35" si="9">SUM(C31:C32)</f>
        <v>1341.9</v>
      </c>
      <c r="D35" s="55">
        <f t="shared" si="9"/>
        <v>5059955</v>
      </c>
      <c r="E35" s="56">
        <f t="shared" si="9"/>
        <v>7682</v>
      </c>
      <c r="F35" s="56">
        <f t="shared" si="9"/>
        <v>1537</v>
      </c>
      <c r="G35" s="56">
        <f t="shared" si="9"/>
        <v>24360</v>
      </c>
      <c r="H35" s="56">
        <f t="shared" si="9"/>
        <v>26131</v>
      </c>
      <c r="I35" s="56">
        <f t="shared" si="9"/>
        <v>673015</v>
      </c>
      <c r="J35" s="56">
        <f t="shared" si="9"/>
        <v>10425</v>
      </c>
      <c r="K35" s="56">
        <f t="shared" si="9"/>
        <v>1967</v>
      </c>
      <c r="L35" s="56">
        <f t="shared" si="9"/>
        <v>69991</v>
      </c>
      <c r="M35" s="56">
        <f t="shared" si="9"/>
        <v>256194</v>
      </c>
      <c r="N35" s="56">
        <f t="shared" si="9"/>
        <v>273386</v>
      </c>
      <c r="O35" s="56">
        <f t="shared" si="9"/>
        <v>35525</v>
      </c>
      <c r="P35" s="56">
        <f t="shared" si="9"/>
        <v>2673</v>
      </c>
      <c r="Q35" s="56">
        <f t="shared" si="9"/>
        <v>179641</v>
      </c>
      <c r="R35" s="55">
        <f t="shared" si="9"/>
        <v>929343</v>
      </c>
      <c r="S35" s="55">
        <f t="shared" si="9"/>
        <v>2491870</v>
      </c>
      <c r="T35" s="55">
        <f t="shared" si="9"/>
        <v>8457791.5299999993</v>
      </c>
      <c r="U35" s="55">
        <f>U31+U32+U33+U34</f>
        <v>79657500</v>
      </c>
    </row>
    <row r="36" spans="1:21" s="61" customFormat="1" ht="15.75" customHeight="1" x14ac:dyDescent="0.25">
      <c r="A36" s="63"/>
      <c r="B36" s="64" t="s">
        <v>48</v>
      </c>
      <c r="C36" s="55">
        <f t="shared" ref="C36:U36" si="10">C21+C35</f>
        <v>4090.2000000000003</v>
      </c>
      <c r="D36" s="55">
        <f t="shared" si="10"/>
        <v>15529800</v>
      </c>
      <c r="E36" s="56">
        <f t="shared" si="10"/>
        <v>11523</v>
      </c>
      <c r="F36" s="56">
        <f t="shared" si="10"/>
        <v>20044</v>
      </c>
      <c r="G36" s="56">
        <f t="shared" si="10"/>
        <v>169140</v>
      </c>
      <c r="H36" s="56">
        <f t="shared" si="10"/>
        <v>126934</v>
      </c>
      <c r="I36" s="57">
        <f t="shared" si="10"/>
        <v>2596606.5</v>
      </c>
      <c r="J36" s="56">
        <f t="shared" si="10"/>
        <v>10425</v>
      </c>
      <c r="K36" s="56">
        <f t="shared" si="10"/>
        <v>18052</v>
      </c>
      <c r="L36" s="56">
        <f t="shared" si="10"/>
        <v>69991</v>
      </c>
      <c r="M36" s="56">
        <f t="shared" si="10"/>
        <v>1345533</v>
      </c>
      <c r="N36" s="56">
        <f t="shared" si="10"/>
        <v>1116916</v>
      </c>
      <c r="O36" s="56">
        <f t="shared" si="10"/>
        <v>61268</v>
      </c>
      <c r="P36" s="56">
        <f t="shared" si="10"/>
        <v>18120</v>
      </c>
      <c r="Q36" s="56">
        <f t="shared" si="10"/>
        <v>304306</v>
      </c>
      <c r="R36" s="55">
        <f t="shared" si="10"/>
        <v>2746416.5</v>
      </c>
      <c r="S36" s="55">
        <f t="shared" si="10"/>
        <v>8615275</v>
      </c>
      <c r="T36" s="55">
        <f t="shared" si="10"/>
        <v>25051041.530000001</v>
      </c>
      <c r="U36" s="55">
        <f t="shared" si="10"/>
        <v>289332816</v>
      </c>
    </row>
    <row r="37" spans="1:21" s="61" customFormat="1" ht="9.75" customHeight="1" x14ac:dyDescent="0.25"/>
    <row r="38" spans="1:21" s="61" customFormat="1" ht="1.5" hidden="1" customHeight="1" x14ac:dyDescent="0.25"/>
    <row r="39" spans="1:21" s="61" customFormat="1" ht="15.6" customHeight="1" x14ac:dyDescent="0.25">
      <c r="B39" s="65" t="s">
        <v>49</v>
      </c>
      <c r="G39" s="65" t="s">
        <v>50</v>
      </c>
      <c r="L39" s="61" t="s">
        <v>51</v>
      </c>
      <c r="S39" s="61" t="s">
        <v>52</v>
      </c>
    </row>
    <row r="40" spans="1:21" s="61" customFormat="1" ht="15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1" s="61" customFormat="1" x14ac:dyDescent="0.25"/>
    <row r="42" spans="1:21" s="61" customFormat="1" x14ac:dyDescent="0.25"/>
    <row r="43" spans="1:21" s="61" customFormat="1" x14ac:dyDescent="0.25"/>
    <row r="44" spans="1:21" s="61" customFormat="1" x14ac:dyDescent="0.25"/>
    <row r="45" spans="1:21" s="61" customFormat="1" x14ac:dyDescent="0.25"/>
    <row r="46" spans="1:21" s="61" customFormat="1" x14ac:dyDescent="0.25"/>
    <row r="47" spans="1:21" s="61" customFormat="1" x14ac:dyDescent="0.25"/>
  </sheetData>
  <mergeCells count="22">
    <mergeCell ref="O5:O7"/>
    <mergeCell ref="P5:P7"/>
    <mergeCell ref="Q5:Q7"/>
    <mergeCell ref="R5:R7"/>
    <mergeCell ref="A9:U9"/>
    <mergeCell ref="A22:U22"/>
    <mergeCell ref="I5:I7"/>
    <mergeCell ref="J5:J7"/>
    <mergeCell ref="K5:K7"/>
    <mergeCell ref="L5:L7"/>
    <mergeCell ref="M5:M7"/>
    <mergeCell ref="N5:N7"/>
    <mergeCell ref="B1:T1"/>
    <mergeCell ref="A2:T2"/>
    <mergeCell ref="C4:C7"/>
    <mergeCell ref="D4:D7"/>
    <mergeCell ref="E4:K4"/>
    <mergeCell ref="M4:Q4"/>
    <mergeCell ref="E5:E7"/>
    <mergeCell ref="F5:F7"/>
    <mergeCell ref="G5:G7"/>
    <mergeCell ref="H5:H7"/>
  </mergeCells>
  <pageMargins left="0.2" right="0.19" top="0" bottom="0" header="0" footer="0.51181102362204722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</vt:lpstr>
      <vt:lpstr>звед!Заголовки_для_печати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2018-10-23T12:01:06Z</dcterms:created>
  <dcterms:modified xsi:type="dcterms:W3CDTF">2018-10-23T12:01:48Z</dcterms:modified>
</cp:coreProperties>
</file>