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85" windowHeight="10950" activeTab="1"/>
  </bookViews>
  <sheets>
    <sheet name="звед" sheetId="1" r:id="rId1"/>
    <sheet name="штати" sheetId="2" r:id="rId2"/>
  </sheets>
  <externalReferences>
    <externalReference r:id="rId5"/>
  </externalReferences>
  <definedNames>
    <definedName name="_xlnm.Print_Titles" localSheetId="0">'звед'!$8:$8</definedName>
    <definedName name="_xlnm.Print_Titles" localSheetId="1">'штати'!$18:$18</definedName>
    <definedName name="_xlnm.Print_Area" localSheetId="1">'штати'!$A$1:$Y$833</definedName>
  </definedNames>
  <calcPr fullCalcOnLoad="1"/>
</workbook>
</file>

<file path=xl/sharedStrings.xml><?xml version="1.0" encoding="utf-8"?>
<sst xmlns="http://schemas.openxmlformats.org/spreadsheetml/2006/main" count="852" uniqueCount="480">
  <si>
    <t>Затверджую</t>
  </si>
  <si>
    <t xml:space="preserve">Штат в кількості </t>
  </si>
  <si>
    <t>Н а ц і о н а л ь н и й    т е х н і ч н и й    у н і в е р с и т е т   "Харківський політехнічний інститут"</t>
  </si>
  <si>
    <t xml:space="preserve">штатних одиниць з місячним </t>
  </si>
  <si>
    <t>фондом заробітної плати</t>
  </si>
  <si>
    <t>грн.</t>
  </si>
  <si>
    <t>(пятнадцять мільйонів триста вісімдесят дві тис.девятсот десять грн.)</t>
  </si>
  <si>
    <t>Заступник Міністра - Керівник апарату</t>
  </si>
  <si>
    <t>Дерев'янко О.В.</t>
  </si>
  <si>
    <t>"          "                           2016 р.</t>
  </si>
  <si>
    <t>МП</t>
  </si>
  <si>
    <t>з 01.01.16</t>
  </si>
  <si>
    <t>Сума в гривнях</t>
  </si>
  <si>
    <t>№п\п</t>
  </si>
  <si>
    <t>Назва структурного</t>
  </si>
  <si>
    <t>Кільк.шт.од.</t>
  </si>
  <si>
    <t>Присвоєний розряд</t>
  </si>
  <si>
    <t>Оклад по ЄТС</t>
  </si>
  <si>
    <t>Разом сума по окладах</t>
  </si>
  <si>
    <t>Надбавки(грн)</t>
  </si>
  <si>
    <t>Доплати(грн)</t>
  </si>
  <si>
    <t>Разом</t>
  </si>
  <si>
    <t>Фонд</t>
  </si>
  <si>
    <t xml:space="preserve"> підрозділу та посад</t>
  </si>
  <si>
    <t>Згідно постанови КМУ №134 від 07.02.2001</t>
  </si>
  <si>
    <t>За особливі умови праці 50%</t>
  </si>
  <si>
    <t>Педагогічному персоналу 20%</t>
  </si>
  <si>
    <t>За працю в умовах реж.обмеж.</t>
  </si>
  <si>
    <t>"Заслуж."20%</t>
  </si>
  <si>
    <t>Спортивне звання</t>
  </si>
  <si>
    <t>За володіння інозем.мовою 10%</t>
  </si>
  <si>
    <t>Вислуга років</t>
  </si>
  <si>
    <t>Зам.декана 30%</t>
  </si>
  <si>
    <t>вчене звання</t>
  </si>
  <si>
    <t>наукова ступень</t>
  </si>
  <si>
    <t>Праця в шкідл.умовах</t>
  </si>
  <si>
    <t>За зав.кафед.</t>
  </si>
  <si>
    <t>Бригад.,класн.,майстерн.ночн.,н.р.д.</t>
  </si>
  <si>
    <t>доплати</t>
  </si>
  <si>
    <t>заробітної</t>
  </si>
  <si>
    <t>та надб.</t>
  </si>
  <si>
    <t xml:space="preserve">плати на </t>
  </si>
  <si>
    <t xml:space="preserve">проф.33% </t>
  </si>
  <si>
    <t>доцент 25%</t>
  </si>
  <si>
    <t xml:space="preserve">д.н. </t>
  </si>
  <si>
    <t>к.н. 15%</t>
  </si>
  <si>
    <t xml:space="preserve">місяць </t>
  </si>
  <si>
    <t xml:space="preserve"> 2016 РІК</t>
  </si>
  <si>
    <t xml:space="preserve">З А Г А Л Ь Н И Й         Ф О Н Д </t>
  </si>
  <si>
    <t>АУП за умовами праці віднесений до НПП</t>
  </si>
  <si>
    <t>Ректор</t>
  </si>
  <si>
    <t>Проректор</t>
  </si>
  <si>
    <t>Декан</t>
  </si>
  <si>
    <t>Разом АУП</t>
  </si>
  <si>
    <t>Професорсько - викладацький склад</t>
  </si>
  <si>
    <t>Зав.кафедрою</t>
  </si>
  <si>
    <t>Профессор</t>
  </si>
  <si>
    <t xml:space="preserve">Доцент </t>
  </si>
  <si>
    <t>Ст. виклад.</t>
  </si>
  <si>
    <t xml:space="preserve">Викладач , асистент </t>
  </si>
  <si>
    <t>РАЗОМ ПВС</t>
  </si>
  <si>
    <t>Інші категорії працівників</t>
  </si>
  <si>
    <t xml:space="preserve">К А Ф Е Д Р И </t>
  </si>
  <si>
    <t>Зав.навчальн.лаборат</t>
  </si>
  <si>
    <t>Провідний інженер</t>
  </si>
  <si>
    <t>Інженер 1 кат.</t>
  </si>
  <si>
    <t>Інженер 2 кат.</t>
  </si>
  <si>
    <t xml:space="preserve">Інженер </t>
  </si>
  <si>
    <t>Технік 1 кат.</t>
  </si>
  <si>
    <t>Технік 2 кат.</t>
  </si>
  <si>
    <t>МВН</t>
  </si>
  <si>
    <t>Ст.лабор. з в/о</t>
  </si>
  <si>
    <t>Ст.лабор. без в/о</t>
  </si>
  <si>
    <t xml:space="preserve">Лаборант </t>
  </si>
  <si>
    <t>Інженер-програм. 1 кат.</t>
  </si>
  <si>
    <t>ОЦ</t>
  </si>
  <si>
    <t>Нач.бюро</t>
  </si>
  <si>
    <t>Інженер-програм., електр. 1 кат.</t>
  </si>
  <si>
    <t>Оператор</t>
  </si>
  <si>
    <t>Інж.-єлектр. прогр</t>
  </si>
  <si>
    <t>Ректорат</t>
  </si>
  <si>
    <t>Головний інженер</t>
  </si>
  <si>
    <t>Головний механік</t>
  </si>
  <si>
    <t>Виробничий відділ</t>
  </si>
  <si>
    <t>Начальник відділу</t>
  </si>
  <si>
    <t>Інженер</t>
  </si>
  <si>
    <t xml:space="preserve">Технік 1 кат. </t>
  </si>
  <si>
    <t xml:space="preserve">Технік </t>
  </si>
  <si>
    <t>Режимно-секретний відділ НТУ"ХПІ"</t>
  </si>
  <si>
    <t>Зам.нач.відділу</t>
  </si>
  <si>
    <t>Ст.інспектор</t>
  </si>
  <si>
    <t>Навчально-методичний відділ підготовки спеціалістів вищої кваліфікації</t>
  </si>
  <si>
    <t>Інспектор</t>
  </si>
  <si>
    <t>Методист вищої кат.</t>
  </si>
  <si>
    <t>Методист 2 кат.</t>
  </si>
  <si>
    <t>Навчально-методичний відділ договорної та практичної підготовки</t>
  </si>
  <si>
    <t>Методист 1 кат.</t>
  </si>
  <si>
    <t>Лабораторія телекомунікаційних систем та інформаційної безпеки</t>
  </si>
  <si>
    <t>Зав.навч.лаборат</t>
  </si>
  <si>
    <t>Навчальний відділ</t>
  </si>
  <si>
    <t>Заст.нач.відділу</t>
  </si>
  <si>
    <t xml:space="preserve">Методист </t>
  </si>
  <si>
    <t xml:space="preserve">Інженер-програм.1 к. </t>
  </si>
  <si>
    <t>Деканати факультетів</t>
  </si>
  <si>
    <t>Диспетчер</t>
  </si>
  <si>
    <t xml:space="preserve">Інженер-програм. </t>
  </si>
  <si>
    <t>Секретар-друкарка</t>
  </si>
  <si>
    <t>Методист</t>
  </si>
  <si>
    <t>Відділ кадрів</t>
  </si>
  <si>
    <t>Відділ діловодства та канцелярії</t>
  </si>
  <si>
    <t>Друкарка 1 кат.</t>
  </si>
  <si>
    <t>Відділ по збереженню та обробці документів</t>
  </si>
  <si>
    <t>Архіваріус</t>
  </si>
  <si>
    <t>Планово-фінансовий відділ</t>
  </si>
  <si>
    <t>Економіст 1 кат.</t>
  </si>
  <si>
    <t>Бухгалтерія</t>
  </si>
  <si>
    <t>Головний бухгалтер</t>
  </si>
  <si>
    <t>Зам.гол.бухгалтера</t>
  </si>
  <si>
    <t>Провідн.бухгалтер</t>
  </si>
  <si>
    <t>Бухгалтер 1 кат.</t>
  </si>
  <si>
    <t>Бухгалтер 2 кат.</t>
  </si>
  <si>
    <t>Бухгалтер</t>
  </si>
  <si>
    <t>Ст.кассир</t>
  </si>
  <si>
    <t>Пров.інженер-прогр.</t>
  </si>
  <si>
    <t>Методичний відділ</t>
  </si>
  <si>
    <t>Відділ постачання</t>
  </si>
  <si>
    <t>Ст.товарознавець</t>
  </si>
  <si>
    <t>Товарознавець з в\о</t>
  </si>
  <si>
    <t>Зав.складом</t>
  </si>
  <si>
    <t>Вантажник</t>
  </si>
  <si>
    <t>Центр заочного навчання</t>
  </si>
  <si>
    <t>Інженер -програміст 1 к</t>
  </si>
  <si>
    <t>Всього</t>
  </si>
  <si>
    <t>Господарчий відділ</t>
  </si>
  <si>
    <t>Комендант</t>
  </si>
  <si>
    <t>Дезинфектор</t>
  </si>
  <si>
    <t>Технік</t>
  </si>
  <si>
    <t>Прибиральник</t>
  </si>
  <si>
    <t>Гардеробник</t>
  </si>
  <si>
    <t>Двірник</t>
  </si>
  <si>
    <t>Слюсар 6 р.</t>
  </si>
  <si>
    <t>Слюсар 5 р.</t>
  </si>
  <si>
    <t>Слюсар 3 р.</t>
  </si>
  <si>
    <t>Слюсар2 р.</t>
  </si>
  <si>
    <t>Підсобний робітник</t>
  </si>
  <si>
    <t>Столяр 6 р.</t>
  </si>
  <si>
    <t>Столяр 5 р.</t>
  </si>
  <si>
    <t>Столяр 3 р.</t>
  </si>
  <si>
    <t>Технічний відділ</t>
  </si>
  <si>
    <t>Електромонтер 6 р.</t>
  </si>
  <si>
    <t>Палац студентів</t>
  </si>
  <si>
    <t>Директор палацу студентів</t>
  </si>
  <si>
    <t>Ст.комірник</t>
  </si>
  <si>
    <t>Черговий</t>
  </si>
  <si>
    <t>Електромонтер 5 р.</t>
  </si>
  <si>
    <t>Відділ слабострумних мереж</t>
  </si>
  <si>
    <t>Навчально-методичний відділ стандартизації</t>
  </si>
  <si>
    <t>Відділ експлуатації</t>
  </si>
  <si>
    <t>Слюсар-сантехнік 6 р.</t>
  </si>
  <si>
    <t>Слюсар-сантехнік 5 р.</t>
  </si>
  <si>
    <t>Слюсар-сантехнік 4 р.</t>
  </si>
  <si>
    <t>Слюсар-сантехнік 3 р.</t>
  </si>
  <si>
    <t>Слюсар-вентиляц.6 р.</t>
  </si>
  <si>
    <t>Слюсар-вентиляц.5 р.</t>
  </si>
  <si>
    <t>Слюсар-вентиляц.3 р.</t>
  </si>
  <si>
    <t>Слюсар 4 р.</t>
  </si>
  <si>
    <t>Електрогазозварник  6 р.</t>
  </si>
  <si>
    <t>Електрогазозварник 5 р.</t>
  </si>
  <si>
    <t>Столяр 4 р.</t>
  </si>
  <si>
    <t>Муляр 6 р.</t>
  </si>
  <si>
    <t>Муляр 5 р.</t>
  </si>
  <si>
    <t>Муляр 4 р.</t>
  </si>
  <si>
    <t>Муляр 3 р.</t>
  </si>
  <si>
    <t>Штукатур 5 р.</t>
  </si>
  <si>
    <t>Штукатур 4 р.</t>
  </si>
  <si>
    <t>Покрівельник 6 р.</t>
  </si>
  <si>
    <t>Покрівельник 4 р.</t>
  </si>
  <si>
    <t>Відділ головного енергетика</t>
  </si>
  <si>
    <t>Головний енергетик</t>
  </si>
  <si>
    <t>Електромонтер 3 р.</t>
  </si>
  <si>
    <t>Електромонтер 2 р.</t>
  </si>
  <si>
    <t>Електрик 6 р</t>
  </si>
  <si>
    <t>Електрик 3 р</t>
  </si>
  <si>
    <t>Відділ охорони праці</t>
  </si>
  <si>
    <t>Бібліотека</t>
  </si>
  <si>
    <t>Директор</t>
  </si>
  <si>
    <t>Зам.директора</t>
  </si>
  <si>
    <t>Вчений секретар</t>
  </si>
  <si>
    <t>Зав.відділом</t>
  </si>
  <si>
    <t>Зав.сектором</t>
  </si>
  <si>
    <t>Гол.бібліотекар</t>
  </si>
  <si>
    <t>Гол.бібліограф</t>
  </si>
  <si>
    <t>Провідний бібліотекар</t>
  </si>
  <si>
    <t>Провідний бібліограф</t>
  </si>
  <si>
    <t>Бібліотекар 1 кат.</t>
  </si>
  <si>
    <t>Бібліограф 1 кат.</t>
  </si>
  <si>
    <t>Бібліотекар 2 к</t>
  </si>
  <si>
    <t xml:space="preserve">Бібліотекар </t>
  </si>
  <si>
    <t>Інженер-програміст 1 к.</t>
  </si>
  <si>
    <t>Відділ експлуатації спортспоруди</t>
  </si>
  <si>
    <t>Нач. відділу експлуа-тації спортспоруди</t>
  </si>
  <si>
    <t>Ремонтувальник 5 р.</t>
  </si>
  <si>
    <t>Ремонтувальник 4 р.</t>
  </si>
  <si>
    <t>Ремонтувальник 3 р.</t>
  </si>
  <si>
    <t xml:space="preserve">Сторож </t>
  </si>
  <si>
    <t>Оператор теплопункта 6 р.</t>
  </si>
  <si>
    <t>Оператор теплопункта 4 р.</t>
  </si>
  <si>
    <t>Слюсар по обсл.та ремонту 3 р.</t>
  </si>
  <si>
    <t>Слюсар по обсл.та ремонту 4 р.</t>
  </si>
  <si>
    <t>Слюсар по обсл.та ремонту 5 р.</t>
  </si>
  <si>
    <t>Висококвал.робітник</t>
  </si>
  <si>
    <t>Слюсар-ремонтник 6 р.</t>
  </si>
  <si>
    <t>Слюсар-ремонтник 5 р.</t>
  </si>
  <si>
    <t>Черговий по роздя-гальному відділенню</t>
  </si>
  <si>
    <t>Маляр 6 р.</t>
  </si>
  <si>
    <t>Тесляр 5 р.</t>
  </si>
  <si>
    <t>Електрогазосвар. 6 р.</t>
  </si>
  <si>
    <t>Загальноуніверситеська юридична служба НТУ"ХПІ"</t>
  </si>
  <si>
    <t>Начальник загальноуніверситетської юридичної служби</t>
  </si>
  <si>
    <t>Заступник начальника загальноуніверситетської юридичної служби</t>
  </si>
  <si>
    <t>Провідний юрисконсульт</t>
  </si>
  <si>
    <t>Юрисконсульт 1 кат.</t>
  </si>
  <si>
    <t xml:space="preserve">Юрисконсульт </t>
  </si>
  <si>
    <t>Оперативно-диспетчерський відділ</t>
  </si>
  <si>
    <t>Нач.відділу-головний диспетчер</t>
  </si>
  <si>
    <t>Відділ охорони</t>
  </si>
  <si>
    <t>Редакційно-видавничий відділ</t>
  </si>
  <si>
    <t>Друкарня НТУ"ХПІ"</t>
  </si>
  <si>
    <t>Навчальний та технологічний центр</t>
  </si>
  <si>
    <t>Лабораторія по вивченню та збереженню історико-культурної спадщини України та НТУ"ХПІ"</t>
  </si>
  <si>
    <t>Інженер-програміст</t>
  </si>
  <si>
    <t>Відділ з питань надзвичайних ситуацій та цивільного захисту населення</t>
  </si>
  <si>
    <t>Інженер 1к</t>
  </si>
  <si>
    <t>Центр медіакомунікацій</t>
  </si>
  <si>
    <t>Керівник Центру</t>
  </si>
  <si>
    <t>Заступник керівника центру</t>
  </si>
  <si>
    <t>Центр нових інформаційних технологій</t>
  </si>
  <si>
    <t>Нач.ЦНІТ</t>
  </si>
  <si>
    <t>Інж.-програм. 1 кат.</t>
  </si>
  <si>
    <t>Інж.-програм. 2 кат.</t>
  </si>
  <si>
    <t>Інж-єлектр.1 кат.</t>
  </si>
  <si>
    <t>Зав.навч.лаб.,к.т.н.</t>
  </si>
  <si>
    <t>Зав.навч.лаб.</t>
  </si>
  <si>
    <t>Навчально-виробничий центр</t>
  </si>
  <si>
    <t>Комірник</t>
  </si>
  <si>
    <t>Прибиральница</t>
  </si>
  <si>
    <t>Електрогазозварник    6 р.</t>
  </si>
  <si>
    <t>Робітник 5 р.</t>
  </si>
  <si>
    <t>Робітник 4р.</t>
  </si>
  <si>
    <t>Жерстянник 6 р.</t>
  </si>
  <si>
    <t>Слюсар-вентил.5 р.</t>
  </si>
  <si>
    <t>Ст.лабор. б/о</t>
  </si>
  <si>
    <t>Р А З О М     по іншим категоріям працівників</t>
  </si>
  <si>
    <t xml:space="preserve">Р А З О М     </t>
  </si>
  <si>
    <t>Щорічна винагорода пед.прац.</t>
  </si>
  <si>
    <t>Доплата на оздоровлення</t>
  </si>
  <si>
    <t>Нерозподілені видатки на підвищення зарплати</t>
  </si>
  <si>
    <t xml:space="preserve">Р А З О М         по загальному фонду </t>
  </si>
  <si>
    <t>c  п  е  ц  і  а  л  ь  н  и  й      ф  о  н  д</t>
  </si>
  <si>
    <t>Разом  по АУП</t>
  </si>
  <si>
    <t>Доцент</t>
  </si>
  <si>
    <t>Ст.виклад</t>
  </si>
  <si>
    <t xml:space="preserve">Викладач,асистент </t>
  </si>
  <si>
    <t>Викладач-стажист</t>
  </si>
  <si>
    <t>Разом по ПВС</t>
  </si>
  <si>
    <t>Погодинний фонд</t>
  </si>
  <si>
    <t>Інші НПП</t>
  </si>
  <si>
    <t>Заступник директора з науково-педагогічної роботи</t>
  </si>
  <si>
    <t>Кафедри</t>
  </si>
  <si>
    <t>Пров.інженер</t>
  </si>
  <si>
    <t>Ст.лабор.без в/о</t>
  </si>
  <si>
    <t>Технік 1 к</t>
  </si>
  <si>
    <t>Водій</t>
  </si>
  <si>
    <t>Спеціалісти</t>
  </si>
  <si>
    <t>Інші робітники</t>
  </si>
  <si>
    <t>Р А З О М    УДП</t>
  </si>
  <si>
    <t>Інженер-прогр. 1 кат.</t>
  </si>
  <si>
    <t xml:space="preserve">Оператор </t>
  </si>
  <si>
    <t>Р А З О М    ОЦ</t>
  </si>
  <si>
    <t>Радник ректора</t>
  </si>
  <si>
    <t>Помічник ректора</t>
  </si>
  <si>
    <t>Відділ експлуатаціїї спортпоруд</t>
  </si>
  <si>
    <t>Зав.спортспоруд</t>
  </si>
  <si>
    <t>Зав.басейном</t>
  </si>
  <si>
    <t>Лікар лікувальної фізкультури та спортивної медицини</t>
  </si>
  <si>
    <t>Медсестра</t>
  </si>
  <si>
    <t>Нач.інжен.-техн.служби</t>
  </si>
  <si>
    <t>Адміністратор</t>
  </si>
  <si>
    <t>Черговий по залу</t>
  </si>
  <si>
    <t>Сторож</t>
  </si>
  <si>
    <t>Прибиральниця</t>
  </si>
  <si>
    <t>Дезінфектор</t>
  </si>
  <si>
    <t>Апаратчик хімводооч.3р</t>
  </si>
  <si>
    <t>Cтоляр 6 р.</t>
  </si>
  <si>
    <t>Відділ міжнародних зв'язків</t>
  </si>
  <si>
    <t>Зам. нач. відділу</t>
  </si>
  <si>
    <t xml:space="preserve">Ст. інспектор </t>
  </si>
  <si>
    <t>Перекладач англійськ.
 мов</t>
  </si>
  <si>
    <t>Перекладач англійськ.
та китайської мов</t>
  </si>
  <si>
    <t>Перекладач німецької
мови</t>
  </si>
  <si>
    <t>Деканати</t>
  </si>
  <si>
    <t>Інженер 1 к.</t>
  </si>
  <si>
    <t>Інженер 2 к.</t>
  </si>
  <si>
    <t>Інженер - прогр.1 к.</t>
  </si>
  <si>
    <t>Секретар</t>
  </si>
  <si>
    <t>Керівник центру</t>
  </si>
  <si>
    <t>Навчальний  та технологічний центр</t>
  </si>
  <si>
    <t>Ст.лаборант б\о</t>
  </si>
  <si>
    <t>Лаборант</t>
  </si>
  <si>
    <t>Оператор по експлуатації та обслугов.котелень 3 р.</t>
  </si>
  <si>
    <t>Студмістечко</t>
  </si>
  <si>
    <t>Заcтупник директора</t>
  </si>
  <si>
    <t>Нач.служби експлуат</t>
  </si>
  <si>
    <t>Нач.справки паспортного столу</t>
  </si>
  <si>
    <t>Зав.гуртожит</t>
  </si>
  <si>
    <t>Паспортист</t>
  </si>
  <si>
    <t xml:space="preserve">Економіст </t>
  </si>
  <si>
    <t>Технік по обслуговуванню приміщень</t>
  </si>
  <si>
    <t>Зав.камерою схову-кастелянша</t>
  </si>
  <si>
    <t>Черговий по гуртож</t>
  </si>
  <si>
    <t>Черговий по поверху</t>
  </si>
  <si>
    <t>Столяр 6 р</t>
  </si>
  <si>
    <t>Столяр5 р</t>
  </si>
  <si>
    <t>Столяр4 р</t>
  </si>
  <si>
    <t>Столяр3 р</t>
  </si>
  <si>
    <t>Столяр2 р</t>
  </si>
  <si>
    <t>Електромонтер 4 р.</t>
  </si>
  <si>
    <t>Робітник по ремонту та обслуг.споруд</t>
  </si>
  <si>
    <t>Ліфтер</t>
  </si>
  <si>
    <t xml:space="preserve">Черговий </t>
  </si>
  <si>
    <t>Гараж</t>
  </si>
  <si>
    <t xml:space="preserve">Бухгалтер </t>
  </si>
  <si>
    <t>Механік</t>
  </si>
  <si>
    <t>Cлюсар з ремонту рухомого складу 5р</t>
  </si>
  <si>
    <t>Водій самохідних механізмів</t>
  </si>
  <si>
    <t>Тракторист</t>
  </si>
  <si>
    <t>Чернівецький факультет при НТУ"ХПІ"</t>
  </si>
  <si>
    <t>Інженер 1 к</t>
  </si>
  <si>
    <t>Режисер-постановник масових заходів</t>
  </si>
  <si>
    <t>Керівник колективу молодіжних ініціатив</t>
  </si>
  <si>
    <t xml:space="preserve">Керівник клубу організації дозвілля </t>
  </si>
  <si>
    <t xml:space="preserve">Завідуючий  сектором </t>
  </si>
  <si>
    <t>Нач.відділу постачання</t>
  </si>
  <si>
    <t>Керівник танц.ансамблю"Засл"</t>
  </si>
  <si>
    <t>Керівник Центру дозвілля</t>
  </si>
  <si>
    <t>Керівник нар.театру "Політехнік"</t>
  </si>
  <si>
    <t>Керівник Камерного хору</t>
  </si>
  <si>
    <t>Хормейстер Камерного хору</t>
  </si>
  <si>
    <t xml:space="preserve">Концертмейстер Камерного хору </t>
  </si>
  <si>
    <t>Керівник нар.ансамблю "Єдність"</t>
  </si>
  <si>
    <t>Керівник ансамблю народних інструментів</t>
  </si>
  <si>
    <t>Концертмейстер ансамблю народних інструментів 1 к</t>
  </si>
  <si>
    <t>Концертмейстер естрадного ансамблю 1 к.</t>
  </si>
  <si>
    <t>Керівник колект.</t>
  </si>
  <si>
    <t>Керівник студії</t>
  </si>
  <si>
    <t>Керівник ансамблю бального танцю</t>
  </si>
  <si>
    <t>Керівник театру "Вітражи"</t>
  </si>
  <si>
    <t>Керівник ансамблю сучасного танцю"Геліос"</t>
  </si>
  <si>
    <t>Керівник вокального ансамблю</t>
  </si>
  <si>
    <t>Керівник камерного оркестру "Крещендо"</t>
  </si>
  <si>
    <t>Концертмейстер 1 кат.</t>
  </si>
  <si>
    <t>Концертмейстер 2 к</t>
  </si>
  <si>
    <t>Зав.постановчою частиною</t>
  </si>
  <si>
    <t>Редакція газети "Політехнік"</t>
  </si>
  <si>
    <t>Пров.редактор</t>
  </si>
  <si>
    <t>Редактор1 к.</t>
  </si>
  <si>
    <t>Редактор 2 к.</t>
  </si>
  <si>
    <t>Начально-методичний відділ договорної та практичної підготовки</t>
  </si>
  <si>
    <t>Методист в\к</t>
  </si>
  <si>
    <t>Методист 1к</t>
  </si>
  <si>
    <t>Методист 2к</t>
  </si>
  <si>
    <t>Начально-методичний відділ підготовки спеціалістів вищої кваліфікації</t>
  </si>
  <si>
    <t>Бібліотекар 2 кат.</t>
  </si>
  <si>
    <t xml:space="preserve">Музей </t>
  </si>
  <si>
    <t>Гол.зберігач фондів</t>
  </si>
  <si>
    <t>Cпорттабір "Політехнік"</t>
  </si>
  <si>
    <t>Оператор котельної     3 р.</t>
  </si>
  <si>
    <t>Слюсар - сантехнік 6 р</t>
  </si>
  <si>
    <t>Слюсар - сантехнік 5 р</t>
  </si>
  <si>
    <t>Електрогазозварник 4 р</t>
  </si>
  <si>
    <t>Столяр6 р.</t>
  </si>
  <si>
    <t>Столяр4 р.</t>
  </si>
  <si>
    <t>Каменяр 5 р.</t>
  </si>
  <si>
    <t>Персонал</t>
  </si>
  <si>
    <t>Р А З О М    ОП</t>
  </si>
  <si>
    <t>Центр підготовки іноземних громадян</t>
  </si>
  <si>
    <t>Економіст-бухгал.1 к.</t>
  </si>
  <si>
    <t>Центр контрактного навчання</t>
  </si>
  <si>
    <t>Житлові будинки</t>
  </si>
  <si>
    <t>Нач.ЖЕВ</t>
  </si>
  <si>
    <t>Ел.монтер 5 р.</t>
  </si>
  <si>
    <t>КГХ "Славутич" НТУ "ХПІ"</t>
  </si>
  <si>
    <t>Ст.товарознав.без в\о</t>
  </si>
  <si>
    <t>Касир інкасат.</t>
  </si>
  <si>
    <t>Касир торг.зал.</t>
  </si>
  <si>
    <t>Кондитер 6 р.</t>
  </si>
  <si>
    <t>Кондитер 5 р.</t>
  </si>
  <si>
    <t>Буфетник 5 р.</t>
  </si>
  <si>
    <t>Буфетник 4 р.</t>
  </si>
  <si>
    <t>Буфетник 3 р.</t>
  </si>
  <si>
    <t xml:space="preserve">Кухонний робітник </t>
  </si>
  <si>
    <t>Машиніст п/м машин</t>
  </si>
  <si>
    <t>Мийщик посуду</t>
  </si>
  <si>
    <t>Кухар  6 р.</t>
  </si>
  <si>
    <t>Кухар  5 р.</t>
  </si>
  <si>
    <t>Кухар  4 р.</t>
  </si>
  <si>
    <t>Кухар  3 р.</t>
  </si>
  <si>
    <t>Центр дистанційної та доуніверсітетської підготовки</t>
  </si>
  <si>
    <t>Директор під. курсів</t>
  </si>
  <si>
    <t>Зас. дир. Під.курсів</t>
  </si>
  <si>
    <t>Інженер-прогр.1 кат.</t>
  </si>
  <si>
    <t>Діловод</t>
  </si>
  <si>
    <t>Зав.навч. лаборат</t>
  </si>
  <si>
    <t>Інженер 1кат.</t>
  </si>
  <si>
    <t>Навчально-організаційно-виховний відділ</t>
  </si>
  <si>
    <t>Бібліотекар  2 к</t>
  </si>
  <si>
    <t>Старший інспектор кадрів</t>
  </si>
  <si>
    <t>Заст.гол.бухг.</t>
  </si>
  <si>
    <t>Економіст 2 кат.</t>
  </si>
  <si>
    <t>Експлуатаційно-технічний відділ</t>
  </si>
  <si>
    <t>Начальник експ-тех відділ</t>
  </si>
  <si>
    <t>Електромонтер 6 розр.</t>
  </si>
  <si>
    <t>Оператор котельні</t>
  </si>
  <si>
    <t>Сантехнік 6 розр.</t>
  </si>
  <si>
    <t>Господарський відділ</t>
  </si>
  <si>
    <t>Зав.господ.</t>
  </si>
  <si>
    <t xml:space="preserve">Міжгалузевий інститут післядипломної освіти НТУ"ХПІ" </t>
  </si>
  <si>
    <t>Дирекція</t>
  </si>
  <si>
    <t xml:space="preserve">Головний бухгалтер </t>
  </si>
  <si>
    <t>Бухгалтер 1 категорії</t>
  </si>
  <si>
    <t xml:space="preserve"> Ст.інспектор з кадрів</t>
  </si>
  <si>
    <t>Навчальна лабораторія ПЕОМ</t>
  </si>
  <si>
    <t>Інженер 1 категорії</t>
  </si>
  <si>
    <t xml:space="preserve">Навчально-методичний відділ післядимломної безперервної інженерної освіти </t>
  </si>
  <si>
    <t>Керівник відділу</t>
  </si>
  <si>
    <t>Методист  вищ. кат.</t>
  </si>
  <si>
    <t>Методист 2 категорії</t>
  </si>
  <si>
    <t xml:space="preserve"> Разом: </t>
  </si>
  <si>
    <t>Інфрмаційно-обчислювальний центр</t>
  </si>
  <si>
    <t xml:space="preserve">Начальник </t>
  </si>
  <si>
    <t>Інженер 1-Ї кат.</t>
  </si>
  <si>
    <t>Завідуючий господарством</t>
  </si>
  <si>
    <t>Інженер з ремонту 1 кат</t>
  </si>
  <si>
    <t>Прибиральник приміщень</t>
  </si>
  <si>
    <t>Гуртожиток</t>
  </si>
  <si>
    <t>Разом по спеціальному фонду</t>
  </si>
  <si>
    <t>Індексація</t>
  </si>
  <si>
    <t>Всього по НТУ "ХПІ"</t>
  </si>
  <si>
    <t>Ректор НТУ "ХПІ"</t>
  </si>
  <si>
    <t>Є.І.Сокол</t>
  </si>
  <si>
    <t>Начальник ПФВ</t>
  </si>
  <si>
    <t>Н.М.Горбатенко</t>
  </si>
  <si>
    <t>Голова ППО</t>
  </si>
  <si>
    <t>А.Й.Фомін</t>
  </si>
  <si>
    <r>
      <t xml:space="preserve">Штатний розпис на    </t>
    </r>
    <r>
      <rPr>
        <b/>
        <sz val="26"/>
        <rFont val="Bookman Old Style"/>
        <family val="1"/>
      </rPr>
      <t>2016</t>
    </r>
    <r>
      <rPr>
        <b/>
        <sz val="20"/>
        <rFont val="Bookman Old Style"/>
        <family val="1"/>
      </rPr>
      <t>рік</t>
    </r>
  </si>
  <si>
    <t>Зведений штатний розпис на  2016 рік</t>
  </si>
  <si>
    <t>Н а ц і о н а л ь н и й    т е х н і ч н и й    у н і в е р с и т е т   "ХПІ"</t>
  </si>
  <si>
    <t>з 01.01.2016</t>
  </si>
  <si>
    <t xml:space="preserve">Разом по окладах ЄТС </t>
  </si>
  <si>
    <t>Доплати (грн.)</t>
  </si>
  <si>
    <t>"Заслуж."</t>
  </si>
  <si>
    <t>За особливі умови праці</t>
  </si>
  <si>
    <t xml:space="preserve">За володіння інозем.мовою </t>
  </si>
  <si>
    <t>Зам.декан,бригад.,класн., майстерн.ночн.,н.р.д.</t>
  </si>
  <si>
    <t>місяць</t>
  </si>
  <si>
    <t xml:space="preserve"> 2016РІК</t>
  </si>
  <si>
    <t>Загальний фонд</t>
  </si>
  <si>
    <t>АУП (ректор, проректори)</t>
  </si>
  <si>
    <t>АУП (декани)</t>
  </si>
  <si>
    <t>ПВС</t>
  </si>
  <si>
    <t>інші НПП</t>
  </si>
  <si>
    <t>Педагогічні працівники</t>
  </si>
  <si>
    <t>Бібліотекарі</t>
  </si>
  <si>
    <t>Робітники</t>
  </si>
  <si>
    <t>Разом по всіх категоріях працівників</t>
  </si>
  <si>
    <t>Разом по загальному фонду</t>
  </si>
  <si>
    <t>Спеціальний фонд</t>
  </si>
  <si>
    <t>Разом по cпеціальному фонду</t>
  </si>
  <si>
    <t>Разом по ВУЗу</t>
  </si>
  <si>
    <t>Ректор НТУ"ХПІ"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</si>
</sst>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"/>
    <numFmt numFmtId="189" formatCode="0.000"/>
    <numFmt numFmtId="190" formatCode="0.0000"/>
    <numFmt numFmtId="191" formatCode="_-* #,##0.0_г_р_н_._-;\-* #,##0.0_г_р_н_._-;_-* &quot;-&quot;??_г_р_н_._-;_-@_-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6"/>
      <name val="Bookman Old Style"/>
      <family val="1"/>
    </font>
    <font>
      <b/>
      <sz val="20"/>
      <name val="Bookman Old Style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"/>
      <name val="Arial Cyr"/>
      <family val="0"/>
    </font>
    <font>
      <b/>
      <sz val="22"/>
      <name val="Arial Cyr"/>
      <family val="0"/>
    </font>
    <font>
      <b/>
      <sz val="2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name val="Arial Black"/>
      <family val="2"/>
    </font>
    <font>
      <b/>
      <sz val="9"/>
      <name val="Arial Cyr"/>
      <family val="2"/>
    </font>
    <font>
      <b/>
      <i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7"/>
      <name val="Arial Cyr"/>
      <family val="2"/>
    </font>
    <font>
      <sz val="14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textRotation="90"/>
    </xf>
    <xf numFmtId="0" fontId="14" fillId="0" borderId="1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 textRotation="90" wrapText="1"/>
    </xf>
    <xf numFmtId="0" fontId="14" fillId="0" borderId="1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4" fillId="0" borderId="16" xfId="0" applyFont="1" applyFill="1" applyBorder="1" applyAlignment="1">
      <alignment horizontal="center" textRotation="90" wrapText="1"/>
    </xf>
    <xf numFmtId="0" fontId="14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2" fontId="10" fillId="0" borderId="17" xfId="0" applyNumberFormat="1" applyFont="1" applyFill="1" applyBorder="1" applyAlignment="1">
      <alignment/>
    </xf>
    <xf numFmtId="0" fontId="10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justify" vertical="center" wrapText="1"/>
    </xf>
    <xf numFmtId="1" fontId="0" fillId="0" borderId="17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justify" vertical="center"/>
    </xf>
    <xf numFmtId="0" fontId="3" fillId="0" borderId="17" xfId="0" applyFont="1" applyFill="1" applyBorder="1" applyAlignment="1">
      <alignment horizontal="center"/>
    </xf>
    <xf numFmtId="2" fontId="14" fillId="0" borderId="17" xfId="0" applyNumberFormat="1" applyFont="1" applyFill="1" applyBorder="1" applyAlignment="1">
      <alignment horizontal="center"/>
    </xf>
    <xf numFmtId="0" fontId="14" fillId="0" borderId="17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2" fontId="14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justify" vertical="center"/>
    </xf>
    <xf numFmtId="2" fontId="10" fillId="0" borderId="17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88" fontId="10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7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2" fontId="0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188" fontId="0" fillId="0" borderId="17" xfId="0" applyNumberFormat="1" applyFont="1" applyFill="1" applyBorder="1" applyAlignment="1">
      <alignment/>
    </xf>
    <xf numFmtId="2" fontId="10" fillId="0" borderId="17" xfId="0" applyNumberFormat="1" applyFont="1" applyFill="1" applyBorder="1" applyAlignment="1">
      <alignment/>
    </xf>
    <xf numFmtId="1" fontId="1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2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0" fillId="0" borderId="17" xfId="0" applyFont="1" applyFill="1" applyBorder="1" applyAlignment="1">
      <alignment horizontal="left"/>
    </xf>
    <xf numFmtId="188" fontId="10" fillId="0" borderId="17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vertical="center" wrapText="1"/>
    </xf>
    <xf numFmtId="188" fontId="1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/>
    </xf>
    <xf numFmtId="188" fontId="10" fillId="0" borderId="17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justify" vertical="center" wrapText="1"/>
    </xf>
    <xf numFmtId="2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/>
    </xf>
    <xf numFmtId="0" fontId="18" fillId="0" borderId="17" xfId="0" applyFont="1" applyFill="1" applyBorder="1" applyAlignment="1">
      <alignment horizontal="justify" vertical="center"/>
    </xf>
    <xf numFmtId="1" fontId="14" fillId="0" borderId="17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7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right"/>
    </xf>
    <xf numFmtId="1" fontId="0" fillId="0" borderId="17" xfId="0" applyNumberFormat="1" applyFont="1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0" fontId="10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wrapText="1"/>
    </xf>
    <xf numFmtId="0" fontId="9" fillId="0" borderId="17" xfId="0" applyNumberFormat="1" applyFont="1" applyFill="1" applyBorder="1" applyAlignment="1">
      <alignment wrapText="1"/>
    </xf>
    <xf numFmtId="2" fontId="9" fillId="0" borderId="17" xfId="0" applyNumberFormat="1" applyFont="1" applyFill="1" applyBorder="1" applyAlignment="1">
      <alignment wrapText="1"/>
    </xf>
    <xf numFmtId="1" fontId="9" fillId="0" borderId="17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8" fillId="0" borderId="17" xfId="0" applyFont="1" applyFill="1" applyBorder="1" applyAlignment="1">
      <alignment horizontal="center"/>
    </xf>
    <xf numFmtId="9" fontId="9" fillId="0" borderId="17" xfId="0" applyNumberFormat="1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justify" vertical="center"/>
    </xf>
    <xf numFmtId="0" fontId="0" fillId="0" borderId="18" xfId="0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/>
    </xf>
    <xf numFmtId="188" fontId="0" fillId="0" borderId="17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1" fontId="0" fillId="0" borderId="17" xfId="0" applyNumberFormat="1" applyFont="1" applyFill="1" applyBorder="1" applyAlignment="1">
      <alignment wrapText="1"/>
    </xf>
    <xf numFmtId="2" fontId="0" fillId="0" borderId="17" xfId="0" applyNumberFormat="1" applyFont="1" applyFill="1" applyBorder="1" applyAlignment="1">
      <alignment wrapText="1"/>
    </xf>
    <xf numFmtId="2" fontId="10" fillId="0" borderId="0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wrapText="1"/>
    </xf>
    <xf numFmtId="0" fontId="21" fillId="0" borderId="17" xfId="0" applyFont="1" applyFill="1" applyBorder="1" applyAlignment="1">
      <alignment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vertical="center" wrapText="1"/>
    </xf>
    <xf numFmtId="2" fontId="21" fillId="0" borderId="17" xfId="0" applyNumberFormat="1" applyFont="1" applyFill="1" applyBorder="1" applyAlignment="1">
      <alignment wrapText="1"/>
    </xf>
    <xf numFmtId="1" fontId="21" fillId="0" borderId="17" xfId="0" applyNumberFormat="1" applyFont="1" applyFill="1" applyBorder="1" applyAlignment="1">
      <alignment vertical="center" wrapText="1"/>
    </xf>
    <xf numFmtId="1" fontId="21" fillId="0" borderId="17" xfId="0" applyNumberFormat="1" applyFont="1" applyFill="1" applyBorder="1" applyAlignment="1">
      <alignment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vertical="center" wrapText="1"/>
    </xf>
    <xf numFmtId="2" fontId="20" fillId="0" borderId="17" xfId="0" applyNumberFormat="1" applyFont="1" applyFill="1" applyBorder="1" applyAlignment="1">
      <alignment vertical="center" wrapText="1"/>
    </xf>
    <xf numFmtId="188" fontId="20" fillId="0" borderId="17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21" fillId="0" borderId="17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NumberFormat="1" applyFont="1" applyFill="1" applyBorder="1" applyAlignment="1">
      <alignment vertical="center" wrapText="1"/>
    </xf>
    <xf numFmtId="0" fontId="10" fillId="0" borderId="17" xfId="0" applyNumberFormat="1" applyFont="1" applyFill="1" applyBorder="1" applyAlignment="1">
      <alignment wrapText="1"/>
    </xf>
    <xf numFmtId="2" fontId="10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center" wrapText="1"/>
    </xf>
    <xf numFmtId="0" fontId="20" fillId="0" borderId="17" xfId="0" applyNumberFormat="1" applyFont="1" applyFill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center" wrapText="1"/>
    </xf>
    <xf numFmtId="0" fontId="20" fillId="0" borderId="17" xfId="0" applyNumberFormat="1" applyFont="1" applyFill="1" applyBorder="1" applyAlignment="1">
      <alignment wrapText="1"/>
    </xf>
    <xf numFmtId="2" fontId="20" fillId="0" borderId="17" xfId="0" applyNumberFormat="1" applyFont="1" applyFill="1" applyBorder="1" applyAlignment="1">
      <alignment wrapText="1"/>
    </xf>
    <xf numFmtId="0" fontId="21" fillId="0" borderId="17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left" wrapText="1"/>
    </xf>
    <xf numFmtId="0" fontId="21" fillId="0" borderId="17" xfId="0" applyFont="1" applyFill="1" applyBorder="1" applyAlignment="1">
      <alignment horizontal="right" wrapText="1"/>
    </xf>
    <xf numFmtId="0" fontId="21" fillId="0" borderId="19" xfId="0" applyFont="1" applyFill="1" applyBorder="1" applyAlignment="1">
      <alignment horizontal="right" wrapText="1"/>
    </xf>
    <xf numFmtId="1" fontId="20" fillId="0" borderId="17" xfId="0" applyNumberFormat="1" applyFont="1" applyFill="1" applyBorder="1" applyAlignment="1">
      <alignment wrapText="1"/>
    </xf>
    <xf numFmtId="0" fontId="21" fillId="0" borderId="17" xfId="0" applyNumberFormat="1" applyFont="1" applyFill="1" applyBorder="1" applyAlignment="1">
      <alignment vertical="justify" wrapText="1"/>
    </xf>
    <xf numFmtId="0" fontId="20" fillId="0" borderId="17" xfId="0" applyFont="1" applyFill="1" applyBorder="1" applyAlignment="1">
      <alignment wrapText="1"/>
    </xf>
    <xf numFmtId="0" fontId="21" fillId="0" borderId="17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wrapText="1"/>
    </xf>
    <xf numFmtId="191" fontId="20" fillId="0" borderId="17" xfId="60" applyNumberFormat="1" applyFont="1" applyFill="1" applyBorder="1" applyAlignment="1">
      <alignment horizontal="center" wrapText="1"/>
    </xf>
    <xf numFmtId="0" fontId="10" fillId="0" borderId="17" xfId="0" applyFont="1" applyFill="1" applyBorder="1" applyAlignment="1">
      <alignment wrapText="1"/>
    </xf>
    <xf numFmtId="1" fontId="1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2" fontId="10" fillId="0" borderId="23" xfId="0" applyNumberFormat="1" applyFont="1" applyFill="1" applyBorder="1" applyAlignment="1">
      <alignment/>
    </xf>
    <xf numFmtId="2" fontId="14" fillId="0" borderId="23" xfId="0" applyNumberFormat="1" applyFont="1" applyFill="1" applyBorder="1" applyAlignment="1">
      <alignment/>
    </xf>
    <xf numFmtId="1" fontId="14" fillId="0" borderId="23" xfId="0" applyNumberFormat="1" applyFont="1" applyFill="1" applyBorder="1" applyAlignment="1">
      <alignment/>
    </xf>
    <xf numFmtId="1" fontId="23" fillId="0" borderId="23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20" xfId="0" applyFont="1" applyFill="1" applyBorder="1" applyAlignment="1">
      <alignment/>
    </xf>
    <xf numFmtId="0" fontId="14" fillId="0" borderId="24" xfId="0" applyFon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25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3" fillId="0" borderId="12" xfId="0" applyFont="1" applyFill="1" applyBorder="1" applyAlignment="1">
      <alignment horizontal="center" textRotation="90" wrapText="1"/>
    </xf>
    <xf numFmtId="0" fontId="23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textRotation="90" wrapText="1"/>
    </xf>
    <xf numFmtId="0" fontId="23" fillId="0" borderId="16" xfId="0" applyFont="1" applyFill="1" applyBorder="1" applyAlignment="1">
      <alignment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justify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/>
    </xf>
    <xf numFmtId="0" fontId="11" fillId="0" borderId="17" xfId="0" applyFont="1" applyFill="1" applyBorder="1" applyAlignment="1">
      <alignment horizontal="justify" vertical="center" wrapText="1"/>
    </xf>
    <xf numFmtId="0" fontId="14" fillId="0" borderId="17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3" fillId="0" borderId="20" xfId="0" applyFont="1" applyFill="1" applyBorder="1" applyAlignment="1">
      <alignment horizontal="center" textRotation="90" wrapText="1"/>
    </xf>
    <xf numFmtId="0" fontId="23" fillId="0" borderId="12" xfId="0" applyFont="1" applyFill="1" applyBorder="1" applyAlignment="1">
      <alignment horizontal="center" textRotation="90" wrapText="1"/>
    </xf>
    <xf numFmtId="0" fontId="23" fillId="0" borderId="16" xfId="0" applyFont="1" applyFill="1" applyBorder="1" applyAlignment="1">
      <alignment horizontal="center" textRotation="90" wrapText="1"/>
    </xf>
    <xf numFmtId="0" fontId="23" fillId="0" borderId="18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 vertical="center" textRotation="90"/>
    </xf>
    <xf numFmtId="0" fontId="23" fillId="0" borderId="12" xfId="0" applyFont="1" applyFill="1" applyBorder="1" applyAlignment="1">
      <alignment horizontal="center" vertical="center" textRotation="90"/>
    </xf>
    <xf numFmtId="0" fontId="23" fillId="0" borderId="16" xfId="0" applyFont="1" applyFill="1" applyBorder="1" applyAlignment="1">
      <alignment horizontal="center" vertical="center" textRotation="90"/>
    </xf>
    <xf numFmtId="0" fontId="23" fillId="0" borderId="18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right" wrapText="1"/>
    </xf>
    <xf numFmtId="0" fontId="10" fillId="0" borderId="19" xfId="0" applyFont="1" applyFill="1" applyBorder="1" applyAlignment="1">
      <alignment horizontal="right" wrapText="1"/>
    </xf>
    <xf numFmtId="0" fontId="10" fillId="0" borderId="18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right" wrapText="1"/>
    </xf>
    <xf numFmtId="0" fontId="20" fillId="0" borderId="19" xfId="0" applyFont="1" applyFill="1" applyBorder="1" applyAlignment="1">
      <alignment horizontal="right" wrapText="1"/>
    </xf>
    <xf numFmtId="0" fontId="20" fillId="0" borderId="18" xfId="0" applyNumberFormat="1" applyFont="1" applyFill="1" applyBorder="1" applyAlignment="1">
      <alignment horizontal="right" wrapText="1"/>
    </xf>
    <xf numFmtId="0" fontId="20" fillId="0" borderId="19" xfId="0" applyNumberFormat="1" applyFont="1" applyFill="1" applyBorder="1" applyAlignment="1">
      <alignment horizontal="right" wrapText="1"/>
    </xf>
    <xf numFmtId="0" fontId="19" fillId="0" borderId="18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textRotation="90" wrapText="1"/>
    </xf>
    <xf numFmtId="0" fontId="14" fillId="0" borderId="12" xfId="0" applyFont="1" applyFill="1" applyBorder="1" applyAlignment="1">
      <alignment horizontal="center" textRotation="90" wrapText="1"/>
    </xf>
    <xf numFmtId="0" fontId="14" fillId="0" borderId="16" xfId="0" applyFont="1" applyFill="1" applyBorder="1" applyAlignment="1">
      <alignment horizontal="center" textRotation="90" wrapText="1"/>
    </xf>
    <xf numFmtId="0" fontId="14" fillId="0" borderId="0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center" vertical="center" textRotation="90"/>
    </xf>
    <xf numFmtId="0" fontId="15" fillId="0" borderId="18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textRotation="90"/>
    </xf>
    <xf numFmtId="0" fontId="14" fillId="0" borderId="16" xfId="0" applyFont="1" applyFill="1" applyBorder="1" applyAlignment="1">
      <alignment horizontal="center" textRotation="90"/>
    </xf>
    <xf numFmtId="0" fontId="14" fillId="0" borderId="13" xfId="0" applyFont="1" applyFill="1" applyBorder="1" applyAlignment="1">
      <alignment horizontal="center" textRotation="90"/>
    </xf>
    <xf numFmtId="0" fontId="14" fillId="0" borderId="15" xfId="0" applyFont="1" applyFill="1" applyBorder="1" applyAlignment="1">
      <alignment horizontal="center" textRotation="90"/>
    </xf>
    <xf numFmtId="0" fontId="14" fillId="0" borderId="12" xfId="0" applyFont="1" applyFill="1" applyBorder="1" applyAlignment="1">
      <alignment horizontal="center" textRotation="90"/>
    </xf>
    <xf numFmtId="0" fontId="14" fillId="0" borderId="16" xfId="0" applyFont="1" applyFill="1" applyBorder="1" applyAlignment="1">
      <alignment horizontal="center" textRotation="90"/>
    </xf>
    <xf numFmtId="0" fontId="15" fillId="0" borderId="1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21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14" fillId="0" borderId="25" xfId="0" applyFont="1" applyFill="1" applyBorder="1" applyAlignment="1">
      <alignment horizontal="center" textRotation="90" wrapText="1"/>
    </xf>
    <xf numFmtId="0" fontId="14" fillId="0" borderId="14" xfId="0" applyFont="1" applyFill="1" applyBorder="1" applyAlignment="1">
      <alignment horizontal="center" textRotation="90" wrapText="1"/>
    </xf>
    <xf numFmtId="0" fontId="14" fillId="0" borderId="21" xfId="0" applyFont="1" applyFill="1" applyBorder="1" applyAlignment="1">
      <alignment horizontal="center" textRotation="90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textRotation="90" wrapText="1"/>
    </xf>
    <xf numFmtId="0" fontId="14" fillId="0" borderId="16" xfId="0" applyFont="1" applyFill="1" applyBorder="1" applyAlignment="1">
      <alignment horizont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w\Downloads\PFO\SCHTAT\2016\&#1096;&#1090;&#1072;&#1090;&#1085;&#1086;&#1077;%20&#1089;%2001.01.16&#1075;&#1086;&#1076;%20-&#1057;&#1042;&#1054;&#1044;%20&#1084;&#1080;&#1085;%201378%20%20&#1074;&#1080;&#1089;&#1083;&#1091;&#1075;&#1072;%203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ддн"/>
      <sheetName val="вредность"/>
      <sheetName val="заочн"/>
      <sheetName val="секретность"/>
      <sheetName val="звед хпи"/>
      <sheetName val="звед"/>
      <sheetName val="якіс хпи"/>
      <sheetName val="якісн"/>
      <sheetName val="типов"/>
      <sheetName val="штати хпи"/>
      <sheetName val="ХПИ"/>
      <sheetName val="штати"/>
    </sheetNames>
    <sheetDataSet>
      <sheetData sheetId="1">
        <row r="20">
          <cell r="B20">
            <v>4054.8</v>
          </cell>
        </row>
      </sheetData>
      <sheetData sheetId="3">
        <row r="6">
          <cell r="B6">
            <v>1812.4</v>
          </cell>
        </row>
      </sheetData>
      <sheetData sheetId="10">
        <row r="434">
          <cell r="N434">
            <v>4068</v>
          </cell>
        </row>
        <row r="438">
          <cell r="N438">
            <v>30687</v>
          </cell>
        </row>
        <row r="441">
          <cell r="N441">
            <v>106102</v>
          </cell>
        </row>
        <row r="444">
          <cell r="N444">
            <v>122320</v>
          </cell>
        </row>
      </sheetData>
      <sheetData sheetId="11">
        <row r="22">
          <cell r="C22">
            <v>1</v>
          </cell>
          <cell r="F22">
            <v>4853</v>
          </cell>
          <cell r="G22">
            <v>2427</v>
          </cell>
          <cell r="N22">
            <v>1456</v>
          </cell>
          <cell r="P22">
            <v>1602</v>
          </cell>
          <cell r="R22">
            <v>1214</v>
          </cell>
        </row>
        <row r="23">
          <cell r="C23">
            <v>5</v>
          </cell>
          <cell r="F23">
            <v>23050</v>
          </cell>
          <cell r="K23">
            <v>1844</v>
          </cell>
          <cell r="N23">
            <v>6454</v>
          </cell>
          <cell r="P23">
            <v>3043</v>
          </cell>
          <cell r="Q23">
            <v>3458</v>
          </cell>
          <cell r="R23">
            <v>1844</v>
          </cell>
          <cell r="S23">
            <v>2075</v>
          </cell>
        </row>
        <row r="24">
          <cell r="C24">
            <v>17</v>
          </cell>
          <cell r="F24">
            <v>76823</v>
          </cell>
          <cell r="N24">
            <v>23047</v>
          </cell>
          <cell r="P24">
            <v>8948</v>
          </cell>
          <cell r="Q24">
            <v>12428</v>
          </cell>
          <cell r="R24">
            <v>3616</v>
          </cell>
          <cell r="S24">
            <v>8813</v>
          </cell>
        </row>
        <row r="37">
          <cell r="C37">
            <v>1065.3</v>
          </cell>
          <cell r="F37">
            <v>3962400.25</v>
          </cell>
          <cell r="K37">
            <v>20436</v>
          </cell>
          <cell r="L37">
            <v>21215</v>
          </cell>
          <cell r="N37">
            <v>1128647</v>
          </cell>
          <cell r="O37">
            <v>40913</v>
          </cell>
          <cell r="P37">
            <v>240509</v>
          </cell>
          <cell r="Q37">
            <v>482080</v>
          </cell>
          <cell r="R37">
            <v>151715</v>
          </cell>
          <cell r="S37">
            <v>348198</v>
          </cell>
          <cell r="U37">
            <v>9135</v>
          </cell>
        </row>
        <row r="301">
          <cell r="N301">
            <v>37714</v>
          </cell>
          <cell r="Q301">
            <v>718</v>
          </cell>
          <cell r="S301">
            <v>431</v>
          </cell>
        </row>
        <row r="347">
          <cell r="V347">
            <v>71363</v>
          </cell>
        </row>
        <row r="424">
          <cell r="Y424">
            <v>490000</v>
          </cell>
        </row>
        <row r="425">
          <cell r="Y425">
            <v>4955800</v>
          </cell>
        </row>
        <row r="426">
          <cell r="Y426">
            <v>6381500</v>
          </cell>
        </row>
        <row r="432">
          <cell r="G432">
            <v>4853</v>
          </cell>
          <cell r="J432">
            <v>728</v>
          </cell>
        </row>
        <row r="433">
          <cell r="C433">
            <v>2</v>
          </cell>
          <cell r="F433">
            <v>9220</v>
          </cell>
          <cell r="J433">
            <v>692</v>
          </cell>
          <cell r="N433">
            <v>2766</v>
          </cell>
          <cell r="P433">
            <v>1522</v>
          </cell>
          <cell r="Q433">
            <v>1153</v>
          </cell>
          <cell r="R433">
            <v>922</v>
          </cell>
          <cell r="S433">
            <v>692</v>
          </cell>
        </row>
        <row r="434">
          <cell r="C434">
            <v>4</v>
          </cell>
          <cell r="F434">
            <v>18076</v>
          </cell>
          <cell r="N434">
            <v>4972</v>
          </cell>
          <cell r="P434">
            <v>1492</v>
          </cell>
          <cell r="Q434">
            <v>3390</v>
          </cell>
          <cell r="R434">
            <v>904</v>
          </cell>
          <cell r="S434">
            <v>2034</v>
          </cell>
        </row>
        <row r="448">
          <cell r="C448">
            <v>574.8</v>
          </cell>
          <cell r="F448">
            <v>1929637.5</v>
          </cell>
          <cell r="J448">
            <v>1142</v>
          </cell>
          <cell r="K448">
            <v>406</v>
          </cell>
          <cell r="L448">
            <v>1553</v>
          </cell>
          <cell r="M448">
            <v>34812</v>
          </cell>
          <cell r="N448">
            <v>378201</v>
          </cell>
          <cell r="O448">
            <v>28347</v>
          </cell>
          <cell r="P448">
            <v>28802</v>
          </cell>
          <cell r="Q448">
            <v>104158</v>
          </cell>
          <cell r="R448">
            <v>17767</v>
          </cell>
          <cell r="S448">
            <v>91851</v>
          </cell>
          <cell r="U448">
            <v>2286</v>
          </cell>
        </row>
        <row r="449">
          <cell r="X449">
            <v>308657.5</v>
          </cell>
        </row>
        <row r="453">
          <cell r="C453">
            <v>1.5</v>
          </cell>
          <cell r="F453">
            <v>6320.5</v>
          </cell>
          <cell r="N453">
            <v>1897</v>
          </cell>
          <cell r="Q453">
            <v>1581</v>
          </cell>
          <cell r="S453">
            <v>949</v>
          </cell>
        </row>
        <row r="824">
          <cell r="X824">
            <v>258333</v>
          </cell>
        </row>
        <row r="825">
          <cell r="Y825">
            <v>80000</v>
          </cell>
        </row>
        <row r="826">
          <cell r="Y826">
            <v>975000</v>
          </cell>
        </row>
        <row r="827">
          <cell r="Y827">
            <v>1017872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U43"/>
  <sheetViews>
    <sheetView view="pageBreakPreview" zoomScaleSheetLayoutView="100" zoomScalePageLayoutView="0" workbookViewId="0" topLeftCell="A7">
      <selection activeCell="D22" sqref="D22"/>
    </sheetView>
  </sheetViews>
  <sheetFormatPr defaultColWidth="9.00390625" defaultRowHeight="12.75"/>
  <cols>
    <col min="1" max="1" width="2.875" style="3" customWidth="1"/>
    <col min="2" max="2" width="21.00390625" style="3" customWidth="1"/>
    <col min="3" max="3" width="7.25390625" style="3" customWidth="1"/>
    <col min="4" max="4" width="10.375" style="3" customWidth="1"/>
    <col min="5" max="5" width="6.625" style="3" customWidth="1"/>
    <col min="6" max="6" width="5.75390625" style="3" customWidth="1"/>
    <col min="7" max="8" width="6.25390625" style="3" customWidth="1"/>
    <col min="9" max="9" width="6.75390625" style="3" customWidth="1"/>
    <col min="10" max="10" width="4.375" style="3" customWidth="1"/>
    <col min="11" max="11" width="5.00390625" style="3" customWidth="1"/>
    <col min="12" max="12" width="5.125" style="3" customWidth="1"/>
    <col min="13" max="14" width="6.125" style="3" customWidth="1"/>
    <col min="15" max="15" width="5.25390625" style="3" customWidth="1"/>
    <col min="16" max="16" width="5.00390625" style="3" customWidth="1"/>
    <col min="17" max="17" width="6.25390625" style="3" customWidth="1"/>
    <col min="18" max="18" width="7.875" style="3" customWidth="1"/>
    <col min="19" max="19" width="11.625" style="3" customWidth="1"/>
    <col min="20" max="20" width="12.375" style="3" customWidth="1"/>
    <col min="21" max="16384" width="9.125" style="3" customWidth="1"/>
  </cols>
  <sheetData>
    <row r="1" spans="1:20" ht="15.75">
      <c r="A1" s="222"/>
      <c r="B1" s="254" t="s">
        <v>455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79"/>
    </row>
    <row r="2" spans="1:19" ht="15.75">
      <c r="A2" s="254" t="s">
        <v>456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</row>
    <row r="3" ht="9" customHeight="1">
      <c r="B3" s="223" t="s">
        <v>457</v>
      </c>
    </row>
    <row r="4" spans="1:21" ht="12.75" customHeight="1">
      <c r="A4" s="224" t="s">
        <v>13</v>
      </c>
      <c r="B4" s="225" t="s">
        <v>14</v>
      </c>
      <c r="C4" s="261" t="s">
        <v>15</v>
      </c>
      <c r="D4" s="255" t="s">
        <v>458</v>
      </c>
      <c r="E4" s="264" t="s">
        <v>19</v>
      </c>
      <c r="F4" s="265"/>
      <c r="G4" s="265"/>
      <c r="H4" s="265"/>
      <c r="I4" s="265"/>
      <c r="J4" s="265"/>
      <c r="K4" s="265"/>
      <c r="L4" s="226"/>
      <c r="M4" s="258" t="s">
        <v>459</v>
      </c>
      <c r="N4" s="259"/>
      <c r="O4" s="259"/>
      <c r="P4" s="259"/>
      <c r="Q4" s="260"/>
      <c r="R4" s="227" t="s">
        <v>21</v>
      </c>
      <c r="S4" s="228" t="s">
        <v>22</v>
      </c>
      <c r="T4" s="229" t="s">
        <v>22</v>
      </c>
      <c r="U4" s="230"/>
    </row>
    <row r="5" spans="1:21" ht="12.75" customHeight="1">
      <c r="A5" s="26"/>
      <c r="B5" s="22" t="s">
        <v>23</v>
      </c>
      <c r="C5" s="262"/>
      <c r="D5" s="256"/>
      <c r="E5" s="256" t="s">
        <v>24</v>
      </c>
      <c r="F5" s="256" t="s">
        <v>460</v>
      </c>
      <c r="G5" s="256" t="s">
        <v>26</v>
      </c>
      <c r="H5" s="256" t="s">
        <v>461</v>
      </c>
      <c r="I5" s="256" t="s">
        <v>31</v>
      </c>
      <c r="J5" s="256" t="s">
        <v>27</v>
      </c>
      <c r="K5" s="256" t="s">
        <v>29</v>
      </c>
      <c r="L5" s="255" t="s">
        <v>462</v>
      </c>
      <c r="M5" s="232"/>
      <c r="N5" s="232"/>
      <c r="O5" s="255" t="s">
        <v>35</v>
      </c>
      <c r="P5" s="255" t="s">
        <v>36</v>
      </c>
      <c r="Q5" s="255" t="s">
        <v>463</v>
      </c>
      <c r="R5" s="233" t="s">
        <v>38</v>
      </c>
      <c r="S5" s="234" t="s">
        <v>39</v>
      </c>
      <c r="T5" s="235" t="s">
        <v>39</v>
      </c>
      <c r="U5" s="230"/>
    </row>
    <row r="6" spans="1:21" ht="12.75">
      <c r="A6" s="26"/>
      <c r="B6" s="29"/>
      <c r="C6" s="262"/>
      <c r="D6" s="256"/>
      <c r="E6" s="256"/>
      <c r="F6" s="256"/>
      <c r="G6" s="256"/>
      <c r="H6" s="256"/>
      <c r="I6" s="256"/>
      <c r="J6" s="256"/>
      <c r="K6" s="256"/>
      <c r="L6" s="256"/>
      <c r="M6" s="231"/>
      <c r="N6" s="231"/>
      <c r="O6" s="256"/>
      <c r="P6" s="256"/>
      <c r="Q6" s="256"/>
      <c r="R6" s="233" t="s">
        <v>40</v>
      </c>
      <c r="S6" s="234" t="s">
        <v>41</v>
      </c>
      <c r="T6" s="235" t="s">
        <v>41</v>
      </c>
      <c r="U6" s="230"/>
    </row>
    <row r="7" spans="1:21" ht="30" customHeight="1">
      <c r="A7" s="30"/>
      <c r="B7" s="31"/>
      <c r="C7" s="263"/>
      <c r="D7" s="257"/>
      <c r="E7" s="257"/>
      <c r="F7" s="257"/>
      <c r="G7" s="257"/>
      <c r="H7" s="257"/>
      <c r="I7" s="257"/>
      <c r="J7" s="257"/>
      <c r="K7" s="257"/>
      <c r="L7" s="257"/>
      <c r="M7" s="236" t="s">
        <v>33</v>
      </c>
      <c r="N7" s="236" t="s">
        <v>34</v>
      </c>
      <c r="O7" s="257"/>
      <c r="P7" s="257"/>
      <c r="Q7" s="257"/>
      <c r="R7" s="237"/>
      <c r="S7" s="238" t="s">
        <v>464</v>
      </c>
      <c r="T7" s="239" t="s">
        <v>465</v>
      </c>
      <c r="U7" s="230"/>
    </row>
    <row r="8" spans="1:20" ht="12.75" customHeight="1">
      <c r="A8" s="34">
        <v>1</v>
      </c>
      <c r="B8" s="34">
        <v>2</v>
      </c>
      <c r="C8" s="34">
        <v>3</v>
      </c>
      <c r="D8" s="34">
        <v>5</v>
      </c>
      <c r="E8" s="34"/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4">
        <v>17</v>
      </c>
      <c r="R8" s="34">
        <v>18</v>
      </c>
      <c r="S8" s="34">
        <v>19</v>
      </c>
      <c r="T8" s="34">
        <v>20</v>
      </c>
    </row>
    <row r="9" spans="1:20" ht="12" customHeight="1">
      <c r="A9" s="266" t="s">
        <v>466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8"/>
    </row>
    <row r="10" spans="1:20" ht="14.25" customHeight="1">
      <c r="A10" s="57">
        <v>1</v>
      </c>
      <c r="B10" s="123" t="s">
        <v>467</v>
      </c>
      <c r="C10" s="123">
        <f>'[1]штати'!C22+'[1]штати'!C23</f>
        <v>6</v>
      </c>
      <c r="D10" s="240">
        <f>'[1]штати'!F22+'[1]штати'!F23</f>
        <v>27903</v>
      </c>
      <c r="E10" s="241">
        <f>'[1]штати'!G22</f>
        <v>2427</v>
      </c>
      <c r="F10" s="123">
        <f>'[1]штати'!K22+'[1]штати'!K23</f>
        <v>1844</v>
      </c>
      <c r="G10" s="123"/>
      <c r="H10" s="123"/>
      <c r="I10" s="123">
        <f>'[1]штати'!N22+'[1]штати'!N23</f>
        <v>7910</v>
      </c>
      <c r="J10" s="123"/>
      <c r="K10" s="123"/>
      <c r="L10" s="123"/>
      <c r="M10" s="123">
        <f>'[1]штати'!P22+'[1]штати'!P23+'[1]штати'!Q22+'[1]штати'!Q23</f>
        <v>8103</v>
      </c>
      <c r="N10" s="123">
        <f>'[1]штати'!R22+'[1]штати'!R23+'[1]штати'!S22+'[1]штати'!S23</f>
        <v>5133</v>
      </c>
      <c r="O10" s="123"/>
      <c r="P10" s="123"/>
      <c r="Q10" s="123"/>
      <c r="R10" s="241">
        <f aca="true" t="shared" si="0" ref="R10:R17">SUM(E10:Q10)</f>
        <v>25417</v>
      </c>
      <c r="S10" s="240">
        <f aca="true" t="shared" si="1" ref="S10:S17">R10+D10</f>
        <v>53320</v>
      </c>
      <c r="T10" s="240">
        <f aca="true" t="shared" si="2" ref="T10:T17">S10*12</f>
        <v>639840</v>
      </c>
    </row>
    <row r="11" spans="1:20" ht="14.25" customHeight="1">
      <c r="A11" s="57">
        <v>2</v>
      </c>
      <c r="B11" s="123" t="s">
        <v>468</v>
      </c>
      <c r="C11" s="123">
        <f>'[1]штати'!C24</f>
        <v>17</v>
      </c>
      <c r="D11" s="240">
        <f>'[1]штати'!F24</f>
        <v>76823</v>
      </c>
      <c r="E11" s="240"/>
      <c r="F11" s="123"/>
      <c r="G11" s="123"/>
      <c r="H11" s="123"/>
      <c r="I11" s="123">
        <f>'[1]штати'!N24</f>
        <v>23047</v>
      </c>
      <c r="J11" s="123"/>
      <c r="K11" s="123"/>
      <c r="L11" s="123"/>
      <c r="M11" s="123">
        <f>'[1]штати'!P24+'[1]штати'!Q24</f>
        <v>21376</v>
      </c>
      <c r="N11" s="123">
        <f>'[1]штати'!R24+'[1]штати'!S24</f>
        <v>12429</v>
      </c>
      <c r="O11" s="123"/>
      <c r="P11" s="123"/>
      <c r="Q11" s="123"/>
      <c r="R11" s="241">
        <f t="shared" si="0"/>
        <v>56852</v>
      </c>
      <c r="S11" s="240">
        <f t="shared" si="1"/>
        <v>133675</v>
      </c>
      <c r="T11" s="240">
        <f t="shared" si="2"/>
        <v>1604100</v>
      </c>
    </row>
    <row r="12" spans="1:20" ht="12.75" customHeight="1">
      <c r="A12" s="57">
        <v>3</v>
      </c>
      <c r="B12" s="123" t="s">
        <v>469</v>
      </c>
      <c r="C12" s="240">
        <f>'[1]штати'!C37</f>
        <v>1065.3</v>
      </c>
      <c r="D12" s="240">
        <f>'[1]штати'!F37</f>
        <v>3962400.25</v>
      </c>
      <c r="E12" s="240"/>
      <c r="F12" s="123">
        <f>'[1]штати'!K37</f>
        <v>20436</v>
      </c>
      <c r="G12" s="123"/>
      <c r="H12" s="123"/>
      <c r="I12" s="123">
        <f>'[1]штати'!N37</f>
        <v>1128647</v>
      </c>
      <c r="J12" s="123"/>
      <c r="K12" s="123">
        <f>'[1]штати'!L37</f>
        <v>21215</v>
      </c>
      <c r="L12" s="123"/>
      <c r="M12" s="241">
        <f>'[1]штати'!P37+'[1]штати'!Q37</f>
        <v>722589</v>
      </c>
      <c r="N12" s="241">
        <f>'[1]штати'!R37+'[1]штати'!S37</f>
        <v>499913</v>
      </c>
      <c r="O12" s="123"/>
      <c r="P12" s="123">
        <f>'[1]штати'!U37</f>
        <v>9135</v>
      </c>
      <c r="Q12" s="123">
        <f>'[1]штати'!O37</f>
        <v>40913</v>
      </c>
      <c r="R12" s="241">
        <f t="shared" si="0"/>
        <v>2442848</v>
      </c>
      <c r="S12" s="240">
        <f t="shared" si="1"/>
        <v>6405248.25</v>
      </c>
      <c r="T12" s="240">
        <f t="shared" si="2"/>
        <v>76862979</v>
      </c>
    </row>
    <row r="13" spans="1:20" ht="12" customHeight="1">
      <c r="A13" s="57">
        <v>4</v>
      </c>
      <c r="B13" s="123" t="s">
        <v>470</v>
      </c>
      <c r="C13" s="123">
        <v>0</v>
      </c>
      <c r="D13" s="240"/>
      <c r="E13" s="240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241">
        <f t="shared" si="0"/>
        <v>0</v>
      </c>
      <c r="S13" s="240">
        <f t="shared" si="1"/>
        <v>0</v>
      </c>
      <c r="T13" s="240">
        <f t="shared" si="2"/>
        <v>0</v>
      </c>
    </row>
    <row r="14" spans="1:20" ht="13.5" customHeight="1">
      <c r="A14" s="57">
        <v>5</v>
      </c>
      <c r="B14" s="242" t="s">
        <v>471</v>
      </c>
      <c r="C14" s="123">
        <v>216</v>
      </c>
      <c r="D14" s="240">
        <f>460030-80</f>
        <v>459950</v>
      </c>
      <c r="E14" s="240"/>
      <c r="F14" s="240"/>
      <c r="G14" s="241">
        <f>92015-16</f>
        <v>91999</v>
      </c>
      <c r="H14" s="240"/>
      <c r="I14" s="241">
        <f>138019-23</f>
        <v>137996</v>
      </c>
      <c r="J14" s="123"/>
      <c r="K14" s="123"/>
      <c r="L14" s="123"/>
      <c r="M14" s="123">
        <v>1068</v>
      </c>
      <c r="N14" s="123">
        <v>1982</v>
      </c>
      <c r="O14" s="123"/>
      <c r="P14" s="123"/>
      <c r="Q14" s="123"/>
      <c r="R14" s="241">
        <f t="shared" si="0"/>
        <v>233045</v>
      </c>
      <c r="S14" s="240">
        <f t="shared" si="1"/>
        <v>692995</v>
      </c>
      <c r="T14" s="240">
        <f t="shared" si="2"/>
        <v>8315940</v>
      </c>
    </row>
    <row r="15" spans="1:20" ht="11.25" customHeight="1">
      <c r="A15" s="57">
        <v>6</v>
      </c>
      <c r="B15" s="242" t="s">
        <v>273</v>
      </c>
      <c r="C15" s="240">
        <v>1061.8</v>
      </c>
      <c r="D15" s="240">
        <f>1948976.75+411.5-233</f>
        <v>1949155.25</v>
      </c>
      <c r="E15" s="240"/>
      <c r="F15" s="123"/>
      <c r="G15" s="123"/>
      <c r="H15" s="104"/>
      <c r="I15" s="104"/>
      <c r="J15" s="104"/>
      <c r="K15" s="104"/>
      <c r="L15" s="104"/>
      <c r="M15" s="104"/>
      <c r="N15" s="104"/>
      <c r="O15" s="123">
        <v>430</v>
      </c>
      <c r="P15" s="123"/>
      <c r="Q15" s="123"/>
      <c r="R15" s="241">
        <f t="shared" si="0"/>
        <v>430</v>
      </c>
      <c r="S15" s="240">
        <f t="shared" si="1"/>
        <v>1949585.25</v>
      </c>
      <c r="T15" s="240">
        <f t="shared" si="2"/>
        <v>23395023</v>
      </c>
    </row>
    <row r="16" spans="1:20" ht="11.25" customHeight="1">
      <c r="A16" s="57">
        <v>7</v>
      </c>
      <c r="B16" s="243" t="s">
        <v>472</v>
      </c>
      <c r="C16" s="240">
        <v>55</v>
      </c>
      <c r="D16" s="240">
        <v>125696.5</v>
      </c>
      <c r="E16" s="240"/>
      <c r="F16" s="123"/>
      <c r="G16" s="123"/>
      <c r="H16" s="123">
        <v>62851</v>
      </c>
      <c r="I16" s="241">
        <f>'[1]штати'!N301</f>
        <v>37714</v>
      </c>
      <c r="J16" s="123"/>
      <c r="K16" s="123"/>
      <c r="L16" s="123"/>
      <c r="M16" s="241">
        <f>'[1]штати'!Q301</f>
        <v>718</v>
      </c>
      <c r="N16" s="241">
        <f>'[1]штати'!S301</f>
        <v>431</v>
      </c>
      <c r="O16" s="123"/>
      <c r="P16" s="123"/>
      <c r="Q16" s="123"/>
      <c r="R16" s="241">
        <f t="shared" si="0"/>
        <v>101714</v>
      </c>
      <c r="S16" s="240">
        <f t="shared" si="1"/>
        <v>227410.5</v>
      </c>
      <c r="T16" s="240">
        <f t="shared" si="2"/>
        <v>2728926</v>
      </c>
    </row>
    <row r="17" spans="1:20" ht="12.75" customHeight="1">
      <c r="A17" s="57">
        <v>8</v>
      </c>
      <c r="B17" s="244" t="s">
        <v>473</v>
      </c>
      <c r="C17" s="123">
        <v>657</v>
      </c>
      <c r="D17" s="123">
        <f>921311-221</f>
        <v>921090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>
        <v>16113</v>
      </c>
      <c r="P17" s="123"/>
      <c r="Q17" s="241">
        <f>'[1]штати'!V347</f>
        <v>71363</v>
      </c>
      <c r="R17" s="241">
        <f t="shared" si="0"/>
        <v>87476</v>
      </c>
      <c r="S17" s="240">
        <f t="shared" si="1"/>
        <v>1008566</v>
      </c>
      <c r="T17" s="240">
        <f t="shared" si="2"/>
        <v>12102792</v>
      </c>
    </row>
    <row r="18" spans="1:20" ht="21" customHeight="1">
      <c r="A18" s="123"/>
      <c r="B18" s="245" t="s">
        <v>474</v>
      </c>
      <c r="C18" s="240">
        <f aca="true" t="shared" si="3" ref="C18:T18">SUM(C10:C17)</f>
        <v>3078.1</v>
      </c>
      <c r="D18" s="240">
        <f t="shared" si="3"/>
        <v>7523018</v>
      </c>
      <c r="E18" s="241">
        <f t="shared" si="3"/>
        <v>2427</v>
      </c>
      <c r="F18" s="241">
        <f t="shared" si="3"/>
        <v>22280</v>
      </c>
      <c r="G18" s="241">
        <f t="shared" si="3"/>
        <v>91999</v>
      </c>
      <c r="H18" s="241">
        <f t="shared" si="3"/>
        <v>62851</v>
      </c>
      <c r="I18" s="241">
        <f t="shared" si="3"/>
        <v>1335314</v>
      </c>
      <c r="J18" s="241">
        <f t="shared" si="3"/>
        <v>0</v>
      </c>
      <c r="K18" s="241">
        <f t="shared" si="3"/>
        <v>21215</v>
      </c>
      <c r="L18" s="241">
        <f t="shared" si="3"/>
        <v>0</v>
      </c>
      <c r="M18" s="241">
        <f t="shared" si="3"/>
        <v>753854</v>
      </c>
      <c r="N18" s="241">
        <f t="shared" si="3"/>
        <v>519888</v>
      </c>
      <c r="O18" s="241">
        <f t="shared" si="3"/>
        <v>16543</v>
      </c>
      <c r="P18" s="241">
        <f t="shared" si="3"/>
        <v>9135</v>
      </c>
      <c r="Q18" s="241">
        <f t="shared" si="3"/>
        <v>112276</v>
      </c>
      <c r="R18" s="241">
        <f t="shared" si="3"/>
        <v>2947782</v>
      </c>
      <c r="S18" s="240">
        <f t="shared" si="3"/>
        <v>10470800</v>
      </c>
      <c r="T18" s="240">
        <f t="shared" si="3"/>
        <v>125649600</v>
      </c>
    </row>
    <row r="19" spans="1:20" ht="21" customHeight="1">
      <c r="A19" s="123"/>
      <c r="B19" s="246" t="s">
        <v>254</v>
      </c>
      <c r="C19" s="240"/>
      <c r="D19" s="240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0"/>
      <c r="T19" s="240">
        <f>'[1]штати'!Y424</f>
        <v>490000</v>
      </c>
    </row>
    <row r="20" spans="1:20" ht="15.75" customHeight="1">
      <c r="A20" s="123"/>
      <c r="B20" s="246" t="s">
        <v>255</v>
      </c>
      <c r="C20" s="240"/>
      <c r="D20" s="240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0"/>
      <c r="T20" s="240">
        <f>'[1]штати'!Y425</f>
        <v>4955800</v>
      </c>
    </row>
    <row r="21" spans="1:20" ht="10.5" customHeight="1">
      <c r="A21" s="123"/>
      <c r="B21" s="246" t="s">
        <v>256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240">
        <f>'[1]штати'!Y426</f>
        <v>6381500</v>
      </c>
    </row>
    <row r="22" spans="1:20" ht="21" customHeight="1">
      <c r="A22" s="123"/>
      <c r="B22" s="247" t="s">
        <v>475</v>
      </c>
      <c r="C22" s="58">
        <f aca="true" t="shared" si="4" ref="C22:S22">C18</f>
        <v>3078.1</v>
      </c>
      <c r="D22" s="58">
        <f t="shared" si="4"/>
        <v>7523018</v>
      </c>
      <c r="E22" s="58">
        <f t="shared" si="4"/>
        <v>2427</v>
      </c>
      <c r="F22" s="125">
        <f t="shared" si="4"/>
        <v>22280</v>
      </c>
      <c r="G22" s="125">
        <f t="shared" si="4"/>
        <v>91999</v>
      </c>
      <c r="H22" s="125">
        <f t="shared" si="4"/>
        <v>62851</v>
      </c>
      <c r="I22" s="125">
        <f t="shared" si="4"/>
        <v>1335314</v>
      </c>
      <c r="J22" s="125">
        <f t="shared" si="4"/>
        <v>0</v>
      </c>
      <c r="K22" s="125">
        <f t="shared" si="4"/>
        <v>21215</v>
      </c>
      <c r="L22" s="125">
        <f t="shared" si="4"/>
        <v>0</v>
      </c>
      <c r="M22" s="125">
        <f t="shared" si="4"/>
        <v>753854</v>
      </c>
      <c r="N22" s="125">
        <f t="shared" si="4"/>
        <v>519888</v>
      </c>
      <c r="O22" s="125">
        <f t="shared" si="4"/>
        <v>16543</v>
      </c>
      <c r="P22" s="125">
        <f t="shared" si="4"/>
        <v>9135</v>
      </c>
      <c r="Q22" s="125">
        <f t="shared" si="4"/>
        <v>112276</v>
      </c>
      <c r="R22" s="125">
        <f t="shared" si="4"/>
        <v>2947782</v>
      </c>
      <c r="S22" s="58">
        <f t="shared" si="4"/>
        <v>10470800</v>
      </c>
      <c r="T22" s="58">
        <f>SUM(T18:T21)</f>
        <v>137476900</v>
      </c>
    </row>
    <row r="23" spans="1:20" s="2" customFormat="1" ht="12" customHeight="1">
      <c r="A23" s="251" t="s">
        <v>476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3"/>
    </row>
    <row r="24" spans="1:20" s="2" customFormat="1" ht="13.5" customHeight="1">
      <c r="A24" s="57">
        <v>1</v>
      </c>
      <c r="B24" s="123" t="s">
        <v>467</v>
      </c>
      <c r="C24" s="123">
        <f>'[1]штати'!C432+'[1]штати'!C433</f>
        <v>2</v>
      </c>
      <c r="D24" s="240">
        <f>'[1]штати'!F432+'[1]штати'!F433</f>
        <v>9220</v>
      </c>
      <c r="E24" s="241">
        <f>'[1]штати'!G432</f>
        <v>4853</v>
      </c>
      <c r="F24" s="123">
        <f>'[1]штати'!K433</f>
        <v>0</v>
      </c>
      <c r="G24" s="123"/>
      <c r="H24" s="123"/>
      <c r="I24" s="123">
        <f>'[1]штати'!N432+'[1]штати'!N479+'[1]штати'!N433</f>
        <v>2766</v>
      </c>
      <c r="J24" s="123">
        <f>'[1]штати'!J432+'[1]штати'!J479+'[1]штати'!J433</f>
        <v>1420</v>
      </c>
      <c r="K24" s="123"/>
      <c r="L24" s="123"/>
      <c r="M24" s="123">
        <f>'[1]штати'!P432+'[1]штати'!P479+'[1]штати'!P433+'[1]штати'!Q432+'[1]штати'!Q479+'[1]штати'!Q433</f>
        <v>2675</v>
      </c>
      <c r="N24" s="123">
        <f>'[1]штати'!R432+'[1]штати'!S432+'[1]штати'!R433+'[1]штати'!S433</f>
        <v>1614</v>
      </c>
      <c r="O24" s="123"/>
      <c r="P24" s="123"/>
      <c r="Q24" s="123"/>
      <c r="R24" s="241">
        <f aca="true" t="shared" si="5" ref="R24:R31">SUM(E24:Q24)</f>
        <v>13328</v>
      </c>
      <c r="S24" s="240">
        <f aca="true" t="shared" si="6" ref="S24:S31">R24+D24</f>
        <v>22548</v>
      </c>
      <c r="T24" s="240">
        <f aca="true" t="shared" si="7" ref="T24:T30">S24*12</f>
        <v>270576</v>
      </c>
    </row>
    <row r="25" spans="1:20" s="2" customFormat="1" ht="12" customHeight="1">
      <c r="A25" s="57">
        <v>2</v>
      </c>
      <c r="B25" s="123" t="s">
        <v>468</v>
      </c>
      <c r="C25" s="123">
        <f>'[1]штати'!C434</f>
        <v>4</v>
      </c>
      <c r="D25" s="240">
        <f>'[1]штати'!F434</f>
        <v>18076</v>
      </c>
      <c r="E25" s="240"/>
      <c r="F25" s="123">
        <f>'[1]штати'!K434</f>
        <v>0</v>
      </c>
      <c r="G25" s="123"/>
      <c r="H25" s="123"/>
      <c r="I25" s="123">
        <f>'[1]штати'!N434</f>
        <v>4972</v>
      </c>
      <c r="J25" s="123"/>
      <c r="K25" s="123"/>
      <c r="L25" s="123"/>
      <c r="M25" s="123">
        <f>'[1]штати'!P434+'[1]штати'!Q434</f>
        <v>4882</v>
      </c>
      <c r="N25" s="123">
        <f>'[1]штати'!R434+'[1]штати'!S434</f>
        <v>2938</v>
      </c>
      <c r="O25" s="123"/>
      <c r="P25" s="123"/>
      <c r="Q25" s="123"/>
      <c r="R25" s="241">
        <f t="shared" si="5"/>
        <v>12792</v>
      </c>
      <c r="S25" s="240">
        <f t="shared" si="6"/>
        <v>30868</v>
      </c>
      <c r="T25" s="240">
        <f t="shared" si="7"/>
        <v>370416</v>
      </c>
    </row>
    <row r="26" spans="1:20" s="2" customFormat="1" ht="10.5" customHeight="1">
      <c r="A26" s="57">
        <v>3</v>
      </c>
      <c r="B26" s="123" t="s">
        <v>469</v>
      </c>
      <c r="C26" s="240">
        <f>'[1]штати'!C448</f>
        <v>574.8</v>
      </c>
      <c r="D26" s="240">
        <f>'[1]штати'!F448</f>
        <v>1929637.5</v>
      </c>
      <c r="E26" s="240"/>
      <c r="F26" s="241">
        <f>'[1]штати'!K448</f>
        <v>406</v>
      </c>
      <c r="G26" s="241"/>
      <c r="H26" s="241"/>
      <c r="I26" s="241">
        <f>'[1]штати'!N448</f>
        <v>378201</v>
      </c>
      <c r="J26" s="241">
        <f>'[1]штати'!J448</f>
        <v>1142</v>
      </c>
      <c r="K26" s="241">
        <f>'[1]штати'!L448</f>
        <v>1553</v>
      </c>
      <c r="L26" s="241">
        <f>'[1]штати'!M448</f>
        <v>34812</v>
      </c>
      <c r="M26" s="241">
        <f>'[1]штати'!P448+'[1]штати'!Q448</f>
        <v>132960</v>
      </c>
      <c r="N26" s="241">
        <f>'[1]штати'!R448+'[1]штати'!S448</f>
        <v>109618</v>
      </c>
      <c r="O26" s="123"/>
      <c r="P26" s="241">
        <f>'[1]штати'!U448</f>
        <v>2286</v>
      </c>
      <c r="Q26" s="241">
        <f>'[1]штати'!O448</f>
        <v>28347</v>
      </c>
      <c r="R26" s="241">
        <f t="shared" si="5"/>
        <v>689325</v>
      </c>
      <c r="S26" s="240">
        <f t="shared" si="6"/>
        <v>2618962.5</v>
      </c>
      <c r="T26" s="240">
        <f t="shared" si="7"/>
        <v>31427550</v>
      </c>
    </row>
    <row r="27" spans="1:20" s="2" customFormat="1" ht="10.5" customHeight="1">
      <c r="A27" s="57">
        <v>4</v>
      </c>
      <c r="B27" s="123" t="s">
        <v>470</v>
      </c>
      <c r="C27" s="240">
        <f>'[1]штати'!C453</f>
        <v>1.5</v>
      </c>
      <c r="D27" s="240">
        <f>'[1]штати'!F453</f>
        <v>6320.5</v>
      </c>
      <c r="E27" s="240"/>
      <c r="F27" s="123"/>
      <c r="G27" s="123"/>
      <c r="H27" s="123"/>
      <c r="I27" s="241">
        <f>'[1]штати'!N453</f>
        <v>1897</v>
      </c>
      <c r="J27" s="123"/>
      <c r="K27" s="123"/>
      <c r="L27" s="123"/>
      <c r="M27" s="241">
        <f>'[1]штати'!Q453</f>
        <v>1581</v>
      </c>
      <c r="N27" s="241">
        <f>'[1]штати'!S453</f>
        <v>949</v>
      </c>
      <c r="O27" s="123"/>
      <c r="P27" s="123"/>
      <c r="Q27" s="123"/>
      <c r="R27" s="241">
        <f t="shared" si="5"/>
        <v>4427</v>
      </c>
      <c r="S27" s="240">
        <f t="shared" si="6"/>
        <v>10747.5</v>
      </c>
      <c r="T27" s="240">
        <f t="shared" si="7"/>
        <v>128970</v>
      </c>
    </row>
    <row r="28" spans="1:20" s="2" customFormat="1" ht="12" customHeight="1">
      <c r="A28" s="57">
        <v>5</v>
      </c>
      <c r="B28" s="242" t="s">
        <v>471</v>
      </c>
      <c r="C28" s="123">
        <v>46</v>
      </c>
      <c r="D28" s="123">
        <f>85689.5+100</f>
        <v>85789.5</v>
      </c>
      <c r="E28" s="123"/>
      <c r="F28" s="123"/>
      <c r="G28" s="123">
        <f>17146+20</f>
        <v>17166</v>
      </c>
      <c r="H28" s="123"/>
      <c r="I28" s="123">
        <v>11410</v>
      </c>
      <c r="J28" s="123"/>
      <c r="K28" s="123"/>
      <c r="L28" s="123"/>
      <c r="M28" s="123"/>
      <c r="N28" s="123">
        <v>329</v>
      </c>
      <c r="O28" s="123">
        <v>3509</v>
      </c>
      <c r="P28" s="123"/>
      <c r="Q28" s="123"/>
      <c r="R28" s="241">
        <f t="shared" si="5"/>
        <v>32414</v>
      </c>
      <c r="S28" s="240">
        <f t="shared" si="6"/>
        <v>118203.5</v>
      </c>
      <c r="T28" s="240">
        <f t="shared" si="7"/>
        <v>1418442</v>
      </c>
    </row>
    <row r="29" spans="1:20" s="2" customFormat="1" ht="12.75" customHeight="1">
      <c r="A29" s="57">
        <v>6</v>
      </c>
      <c r="B29" s="242" t="s">
        <v>273</v>
      </c>
      <c r="C29" s="123">
        <f>415.25+1</f>
        <v>416.25</v>
      </c>
      <c r="D29" s="123">
        <f>692553.5+1513</f>
        <v>694066.5</v>
      </c>
      <c r="E29" s="123"/>
      <c r="F29" s="123">
        <v>971</v>
      </c>
      <c r="G29" s="123"/>
      <c r="H29" s="123"/>
      <c r="I29" s="123">
        <v>2763</v>
      </c>
      <c r="J29" s="123">
        <v>1813</v>
      </c>
      <c r="K29" s="123"/>
      <c r="L29" s="123"/>
      <c r="M29" s="123">
        <f>507</f>
        <v>507</v>
      </c>
      <c r="N29" s="123">
        <f>304+971</f>
        <v>1275</v>
      </c>
      <c r="O29" s="123">
        <v>24301</v>
      </c>
      <c r="P29" s="123"/>
      <c r="Q29" s="123"/>
      <c r="R29" s="241">
        <f t="shared" si="5"/>
        <v>31630</v>
      </c>
      <c r="S29" s="240">
        <f t="shared" si="6"/>
        <v>725696.5</v>
      </c>
      <c r="T29" s="240">
        <f t="shared" si="7"/>
        <v>8708358</v>
      </c>
    </row>
    <row r="30" spans="1:20" s="2" customFormat="1" ht="12.75" customHeight="1">
      <c r="A30" s="57">
        <v>7</v>
      </c>
      <c r="B30" s="242" t="s">
        <v>472</v>
      </c>
      <c r="C30" s="123">
        <v>21.5</v>
      </c>
      <c r="D30" s="123">
        <v>43533</v>
      </c>
      <c r="E30" s="123"/>
      <c r="F30" s="123"/>
      <c r="G30" s="123"/>
      <c r="H30" s="123">
        <v>21770</v>
      </c>
      <c r="I30" s="123">
        <v>12881</v>
      </c>
      <c r="J30" s="123">
        <v>380</v>
      </c>
      <c r="K30" s="123"/>
      <c r="L30" s="123">
        <v>193</v>
      </c>
      <c r="M30" s="123"/>
      <c r="N30" s="123"/>
      <c r="O30" s="123"/>
      <c r="P30" s="123"/>
      <c r="Q30" s="123"/>
      <c r="R30" s="241">
        <f t="shared" si="5"/>
        <v>35224</v>
      </c>
      <c r="S30" s="240">
        <f t="shared" si="6"/>
        <v>78757</v>
      </c>
      <c r="T30" s="240">
        <f t="shared" si="7"/>
        <v>945084</v>
      </c>
    </row>
    <row r="31" spans="1:20" s="2" customFormat="1" ht="12" customHeight="1">
      <c r="A31" s="57">
        <v>8</v>
      </c>
      <c r="B31" s="244" t="s">
        <v>473</v>
      </c>
      <c r="C31" s="240">
        <f>459.5+1-1</f>
        <v>459.5</v>
      </c>
      <c r="D31" s="240">
        <f>642050.5-1414+1383-1514</f>
        <v>640505.5</v>
      </c>
      <c r="E31" s="240"/>
      <c r="F31" s="123"/>
      <c r="G31" s="123"/>
      <c r="H31" s="123"/>
      <c r="I31" s="123"/>
      <c r="J31" s="123"/>
      <c r="K31" s="123"/>
      <c r="L31" s="123"/>
      <c r="M31" s="123"/>
      <c r="N31" s="123"/>
      <c r="O31" s="123">
        <f>19042+138</f>
        <v>19180</v>
      </c>
      <c r="P31" s="123"/>
      <c r="Q31" s="123">
        <v>79651</v>
      </c>
      <c r="R31" s="241">
        <f t="shared" si="5"/>
        <v>98831</v>
      </c>
      <c r="S31" s="240">
        <f t="shared" si="6"/>
        <v>739336.5</v>
      </c>
      <c r="T31" s="240">
        <v>8838846</v>
      </c>
    </row>
    <row r="32" spans="1:20" s="2" customFormat="1" ht="19.5" customHeight="1">
      <c r="A32" s="123"/>
      <c r="B32" s="245" t="s">
        <v>474</v>
      </c>
      <c r="C32" s="240">
        <f aca="true" t="shared" si="8" ref="C32:T32">SUM(C24:C31)</f>
        <v>1525.55</v>
      </c>
      <c r="D32" s="240">
        <f t="shared" si="8"/>
        <v>3427148.5</v>
      </c>
      <c r="E32" s="241">
        <f t="shared" si="8"/>
        <v>4853</v>
      </c>
      <c r="F32" s="241">
        <f t="shared" si="8"/>
        <v>1377</v>
      </c>
      <c r="G32" s="241">
        <f t="shared" si="8"/>
        <v>17166</v>
      </c>
      <c r="H32" s="241">
        <f t="shared" si="8"/>
        <v>21770</v>
      </c>
      <c r="I32" s="241">
        <f t="shared" si="8"/>
        <v>414890</v>
      </c>
      <c r="J32" s="241">
        <f t="shared" si="8"/>
        <v>4755</v>
      </c>
      <c r="K32" s="241">
        <f t="shared" si="8"/>
        <v>1553</v>
      </c>
      <c r="L32" s="241">
        <f t="shared" si="8"/>
        <v>35005</v>
      </c>
      <c r="M32" s="241">
        <f t="shared" si="8"/>
        <v>142605</v>
      </c>
      <c r="N32" s="241">
        <f t="shared" si="8"/>
        <v>116723</v>
      </c>
      <c r="O32" s="241">
        <f t="shared" si="8"/>
        <v>46990</v>
      </c>
      <c r="P32" s="241">
        <f t="shared" si="8"/>
        <v>2286</v>
      </c>
      <c r="Q32" s="241">
        <f t="shared" si="8"/>
        <v>107998</v>
      </c>
      <c r="R32" s="241">
        <f t="shared" si="8"/>
        <v>917971</v>
      </c>
      <c r="S32" s="240">
        <f t="shared" si="8"/>
        <v>4345119.5</v>
      </c>
      <c r="T32" s="240">
        <f t="shared" si="8"/>
        <v>52108242</v>
      </c>
    </row>
    <row r="33" spans="1:20" s="2" customFormat="1" ht="9.75" customHeight="1">
      <c r="A33" s="123"/>
      <c r="B33" s="248" t="s">
        <v>265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240">
        <f>'[1]штати'!X449</f>
        <v>308657.5</v>
      </c>
      <c r="T33" s="240">
        <f>S33*12</f>
        <v>3703890</v>
      </c>
    </row>
    <row r="34" spans="1:20" s="2" customFormat="1" ht="9.75" customHeight="1">
      <c r="A34" s="123"/>
      <c r="B34" s="248" t="s">
        <v>446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240">
        <f>'[1]штати'!X824</f>
        <v>258333</v>
      </c>
      <c r="T34" s="240">
        <f>звед!S34*12</f>
        <v>3099996</v>
      </c>
    </row>
    <row r="35" spans="1:20" s="2" customFormat="1" ht="9.75" customHeight="1">
      <c r="A35" s="123"/>
      <c r="B35" s="249" t="s">
        <v>254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240"/>
      <c r="T35" s="240">
        <f>'[1]штати'!Y825</f>
        <v>80000</v>
      </c>
    </row>
    <row r="36" spans="1:20" s="2" customFormat="1" ht="9.75" customHeight="1">
      <c r="A36" s="123"/>
      <c r="B36" s="249" t="s">
        <v>255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240"/>
      <c r="T36" s="240">
        <f>'[1]штати'!Y826</f>
        <v>975000</v>
      </c>
    </row>
    <row r="37" spans="1:20" s="2" customFormat="1" ht="9.75" customHeight="1">
      <c r="A37" s="123"/>
      <c r="B37" s="249" t="s">
        <v>256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240"/>
      <c r="T37" s="240">
        <f>'[1]штати'!Y827</f>
        <v>1017872</v>
      </c>
    </row>
    <row r="38" spans="1:20" s="2" customFormat="1" ht="20.25" customHeight="1">
      <c r="A38" s="123"/>
      <c r="B38" s="247" t="s">
        <v>477</v>
      </c>
      <c r="C38" s="58">
        <f aca="true" t="shared" si="9" ref="C38:R38">SUM(C32:C33)</f>
        <v>1525.55</v>
      </c>
      <c r="D38" s="58">
        <f t="shared" si="9"/>
        <v>3427148.5</v>
      </c>
      <c r="E38" s="58">
        <f t="shared" si="9"/>
        <v>4853</v>
      </c>
      <c r="F38" s="125">
        <f t="shared" si="9"/>
        <v>1377</v>
      </c>
      <c r="G38" s="125">
        <f t="shared" si="9"/>
        <v>17166</v>
      </c>
      <c r="H38" s="125">
        <f t="shared" si="9"/>
        <v>21770</v>
      </c>
      <c r="I38" s="125">
        <f t="shared" si="9"/>
        <v>414890</v>
      </c>
      <c r="J38" s="125">
        <f t="shared" si="9"/>
        <v>4755</v>
      </c>
      <c r="K38" s="125">
        <f t="shared" si="9"/>
        <v>1553</v>
      </c>
      <c r="L38" s="125">
        <f t="shared" si="9"/>
        <v>35005</v>
      </c>
      <c r="M38" s="125">
        <f t="shared" si="9"/>
        <v>142605</v>
      </c>
      <c r="N38" s="125">
        <f t="shared" si="9"/>
        <v>116723</v>
      </c>
      <c r="O38" s="125">
        <f t="shared" si="9"/>
        <v>46990</v>
      </c>
      <c r="P38" s="125">
        <f t="shared" si="9"/>
        <v>2286</v>
      </c>
      <c r="Q38" s="125">
        <f t="shared" si="9"/>
        <v>107998</v>
      </c>
      <c r="R38" s="125">
        <f t="shared" si="9"/>
        <v>917971</v>
      </c>
      <c r="S38" s="58">
        <f>SUM(S32:S37)</f>
        <v>4912110</v>
      </c>
      <c r="T38" s="61">
        <f>SUM(T32:T37)</f>
        <v>60985000</v>
      </c>
    </row>
    <row r="39" spans="1:20" s="2" customFormat="1" ht="15.75" customHeight="1">
      <c r="A39" s="42"/>
      <c r="B39" s="250" t="s">
        <v>478</v>
      </c>
      <c r="C39" s="58">
        <f aca="true" t="shared" si="10" ref="C39:T39">C38+C22</f>
        <v>4603.65</v>
      </c>
      <c r="D39" s="58">
        <f t="shared" si="10"/>
        <v>10950166.5</v>
      </c>
      <c r="E39" s="58">
        <f t="shared" si="10"/>
        <v>7280</v>
      </c>
      <c r="F39" s="125">
        <f t="shared" si="10"/>
        <v>23657</v>
      </c>
      <c r="G39" s="125">
        <f t="shared" si="10"/>
        <v>109165</v>
      </c>
      <c r="H39" s="125">
        <f t="shared" si="10"/>
        <v>84621</v>
      </c>
      <c r="I39" s="125">
        <f t="shared" si="10"/>
        <v>1750204</v>
      </c>
      <c r="J39" s="125">
        <f t="shared" si="10"/>
        <v>4755</v>
      </c>
      <c r="K39" s="125">
        <f t="shared" si="10"/>
        <v>22768</v>
      </c>
      <c r="L39" s="125">
        <f t="shared" si="10"/>
        <v>35005</v>
      </c>
      <c r="M39" s="125">
        <f t="shared" si="10"/>
        <v>896459</v>
      </c>
      <c r="N39" s="125">
        <f t="shared" si="10"/>
        <v>636611</v>
      </c>
      <c r="O39" s="125">
        <f t="shared" si="10"/>
        <v>63533</v>
      </c>
      <c r="P39" s="125">
        <f t="shared" si="10"/>
        <v>11421</v>
      </c>
      <c r="Q39" s="125">
        <f t="shared" si="10"/>
        <v>220274</v>
      </c>
      <c r="R39" s="125">
        <f t="shared" si="10"/>
        <v>3865753</v>
      </c>
      <c r="S39" s="58">
        <f t="shared" si="10"/>
        <v>15382910</v>
      </c>
      <c r="T39" s="58">
        <f t="shared" si="10"/>
        <v>198461900</v>
      </c>
    </row>
    <row r="40" s="2" customFormat="1" ht="9.75" customHeight="1"/>
    <row r="41" s="2" customFormat="1" ht="1.5" customHeight="1" hidden="1"/>
    <row r="42" spans="2:18" s="2" customFormat="1" ht="30.75" customHeight="1">
      <c r="B42" s="2" t="s">
        <v>479</v>
      </c>
      <c r="G42" s="2" t="s">
        <v>449</v>
      </c>
      <c r="L42" s="2" t="s">
        <v>450</v>
      </c>
      <c r="R42" s="2" t="s">
        <v>451</v>
      </c>
    </row>
    <row r="43" spans="4:15" s="2" customFormat="1" ht="15"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</row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</sheetData>
  <sheetProtection/>
  <mergeCells count="19">
    <mergeCell ref="G5:G7"/>
    <mergeCell ref="A9:T9"/>
    <mergeCell ref="H5:H7"/>
    <mergeCell ref="O5:O7"/>
    <mergeCell ref="P5:P7"/>
    <mergeCell ref="I5:I7"/>
    <mergeCell ref="J5:J7"/>
    <mergeCell ref="K5:K7"/>
    <mergeCell ref="E5:E7"/>
    <mergeCell ref="A23:T23"/>
    <mergeCell ref="B1:S1"/>
    <mergeCell ref="D4:D7"/>
    <mergeCell ref="M4:Q4"/>
    <mergeCell ref="L5:L7"/>
    <mergeCell ref="Q5:Q7"/>
    <mergeCell ref="A2:S2"/>
    <mergeCell ref="C4:C7"/>
    <mergeCell ref="F5:F7"/>
    <mergeCell ref="E4:K4"/>
  </mergeCells>
  <printOptions/>
  <pageMargins left="0" right="0" top="0" bottom="0" header="0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C834"/>
  <sheetViews>
    <sheetView tabSelected="1" view="pageBreakPreview" zoomScale="85" zoomScaleSheetLayoutView="85" zoomScalePageLayoutView="0" workbookViewId="0" topLeftCell="A1">
      <selection activeCell="A1" sqref="A1:T1"/>
    </sheetView>
  </sheetViews>
  <sheetFormatPr defaultColWidth="9.00390625" defaultRowHeight="12.75"/>
  <cols>
    <col min="1" max="1" width="3.625" style="2" customWidth="1"/>
    <col min="2" max="2" width="21.25390625" style="2" customWidth="1"/>
    <col min="3" max="3" width="7.875" style="2" customWidth="1"/>
    <col min="4" max="4" width="3.25390625" style="12" customWidth="1"/>
    <col min="5" max="5" width="4.75390625" style="2" customWidth="1"/>
    <col min="6" max="6" width="10.375" style="2" customWidth="1"/>
    <col min="7" max="7" width="8.125" style="2" customWidth="1"/>
    <col min="8" max="8" width="6.75390625" style="2" customWidth="1"/>
    <col min="9" max="9" width="6.125" style="2" customWidth="1"/>
    <col min="10" max="10" width="5.00390625" style="2" customWidth="1"/>
    <col min="11" max="12" width="6.125" style="2" customWidth="1"/>
    <col min="13" max="13" width="6.25390625" style="2" customWidth="1"/>
    <col min="14" max="14" width="7.875" style="2" customWidth="1"/>
    <col min="15" max="15" width="6.75390625" style="2" customWidth="1"/>
    <col min="16" max="16" width="8.125" style="2" customWidth="1"/>
    <col min="17" max="17" width="6.875" style="2" customWidth="1"/>
    <col min="18" max="18" width="9.25390625" style="2" customWidth="1"/>
    <col min="19" max="19" width="8.625" style="2" customWidth="1"/>
    <col min="20" max="20" width="6.00390625" style="2" customWidth="1"/>
    <col min="21" max="21" width="4.75390625" style="2" customWidth="1"/>
    <col min="22" max="22" width="6.375" style="2" customWidth="1"/>
    <col min="23" max="23" width="9.00390625" style="2" customWidth="1"/>
    <col min="24" max="24" width="11.375" style="2" customWidth="1"/>
    <col min="25" max="25" width="12.75390625" style="2" customWidth="1"/>
    <col min="26" max="27" width="0.12890625" style="2" customWidth="1"/>
    <col min="28" max="29" width="9.125" style="2" hidden="1" customWidth="1"/>
    <col min="30" max="30" width="9.25390625" style="2" bestFit="1" customWidth="1"/>
    <col min="31" max="34" width="9.125" style="2" customWidth="1"/>
    <col min="35" max="16384" width="9.125" style="3" customWidth="1"/>
  </cols>
  <sheetData>
    <row r="1" spans="1:25" ht="40.5" customHeight="1">
      <c r="A1" s="321" t="s">
        <v>454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1"/>
      <c r="V1" s="1"/>
      <c r="W1" s="325" t="s">
        <v>0</v>
      </c>
      <c r="X1" s="325"/>
      <c r="Y1" s="325"/>
    </row>
    <row r="2" spans="1:25" ht="15">
      <c r="A2" s="330"/>
      <c r="B2" s="330"/>
      <c r="C2" s="330"/>
      <c r="D2" s="330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 t="s">
        <v>1</v>
      </c>
      <c r="W2" s="6"/>
      <c r="X2" s="6"/>
      <c r="Y2" s="7">
        <f>C829</f>
        <v>4603.65</v>
      </c>
    </row>
    <row r="3" spans="1:25" ht="18">
      <c r="A3" s="334" t="s">
        <v>2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5"/>
      <c r="V3" s="6" t="s">
        <v>3</v>
      </c>
      <c r="W3" s="6"/>
      <c r="X3" s="6"/>
      <c r="Y3" s="6"/>
    </row>
    <row r="4" spans="1:25" ht="15">
      <c r="A4" s="335"/>
      <c r="B4" s="335"/>
      <c r="C4" s="335"/>
      <c r="D4" s="335"/>
      <c r="E4" s="335"/>
      <c r="F4" s="335"/>
      <c r="G4" s="8"/>
      <c r="H4" s="8"/>
      <c r="I4" s="8"/>
      <c r="J4" s="8"/>
      <c r="K4" s="8"/>
      <c r="L4" s="8"/>
      <c r="M4" s="8"/>
      <c r="N4" s="5"/>
      <c r="O4" s="5"/>
      <c r="P4" s="5"/>
      <c r="Q4" s="5"/>
      <c r="R4" s="5"/>
      <c r="S4" s="5"/>
      <c r="T4" s="5"/>
      <c r="U4" s="5"/>
      <c r="V4" s="6" t="s">
        <v>4</v>
      </c>
      <c r="W4" s="6"/>
      <c r="X4" s="6"/>
      <c r="Y4" s="9"/>
    </row>
    <row r="5" spans="1:25" ht="15.75">
      <c r="A5" s="326"/>
      <c r="B5" s="327"/>
      <c r="C5" s="327"/>
      <c r="D5" s="327"/>
      <c r="E5" s="327"/>
      <c r="F5" s="327"/>
      <c r="G5" s="10"/>
      <c r="H5" s="10"/>
      <c r="I5" s="10"/>
      <c r="J5" s="10"/>
      <c r="K5" s="10"/>
      <c r="L5" s="10"/>
      <c r="M5" s="10"/>
      <c r="N5" s="5"/>
      <c r="O5" s="5"/>
      <c r="P5" s="5"/>
      <c r="Q5" s="5"/>
      <c r="R5" s="5"/>
      <c r="S5" s="5"/>
      <c r="T5" s="5"/>
      <c r="U5" s="5"/>
      <c r="V5" s="341">
        <f>X829</f>
        <v>15382910</v>
      </c>
      <c r="W5" s="342"/>
      <c r="X5" s="11" t="s">
        <v>5</v>
      </c>
      <c r="Y5" s="11"/>
    </row>
    <row r="6" spans="2:25" ht="21.75" customHeight="1">
      <c r="B6" s="4"/>
      <c r="V6" s="343" t="s">
        <v>6</v>
      </c>
      <c r="W6" s="343"/>
      <c r="X6" s="343"/>
      <c r="Y6" s="343"/>
    </row>
    <row r="7" spans="2:25" ht="28.5" customHeight="1">
      <c r="B7" s="4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340" t="s">
        <v>7</v>
      </c>
      <c r="W7" s="340"/>
      <c r="X7" s="340"/>
      <c r="Y7" s="340"/>
    </row>
    <row r="8" spans="2:25" ht="15">
      <c r="B8" s="4"/>
      <c r="V8" s="344" t="s">
        <v>8</v>
      </c>
      <c r="W8" s="344"/>
      <c r="X8" s="344"/>
      <c r="Y8" s="3"/>
    </row>
    <row r="9" spans="2:25" ht="27.75">
      <c r="B9" s="1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322" t="s">
        <v>9</v>
      </c>
      <c r="X9" s="322"/>
      <c r="Y9" s="322"/>
    </row>
    <row r="10" spans="2:25" ht="15">
      <c r="B10" s="4"/>
      <c r="N10" s="16"/>
      <c r="O10" s="16"/>
      <c r="P10" s="16"/>
      <c r="Q10" s="16"/>
      <c r="R10" s="16"/>
      <c r="S10" s="16"/>
      <c r="T10" s="16"/>
      <c r="U10" s="16"/>
      <c r="V10" s="16"/>
      <c r="W10" s="339"/>
      <c r="X10" s="339"/>
      <c r="Y10" s="339"/>
    </row>
    <row r="11" spans="2:25" ht="15">
      <c r="B11" s="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7" t="s">
        <v>10</v>
      </c>
      <c r="Y11" s="4"/>
    </row>
    <row r="12" spans="2:25" ht="15.75" customHeight="1">
      <c r="B12" s="337" t="s">
        <v>11</v>
      </c>
      <c r="C12" s="337"/>
      <c r="D12" s="33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/>
      <c r="Y12" s="19"/>
    </row>
    <row r="13" spans="2:25" ht="26.25" customHeight="1">
      <c r="B13" s="338"/>
      <c r="C13" s="338"/>
      <c r="D13" s="338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336" t="s">
        <v>12</v>
      </c>
      <c r="Y13" s="336"/>
    </row>
    <row r="14" spans="1:25" ht="15" customHeight="1">
      <c r="A14" s="21" t="s">
        <v>13</v>
      </c>
      <c r="B14" s="22" t="s">
        <v>14</v>
      </c>
      <c r="C14" s="296" t="s">
        <v>15</v>
      </c>
      <c r="D14" s="303" t="s">
        <v>16</v>
      </c>
      <c r="E14" s="305" t="s">
        <v>17</v>
      </c>
      <c r="F14" s="307" t="s">
        <v>18</v>
      </c>
      <c r="G14" s="23"/>
      <c r="H14" s="301" t="s">
        <v>19</v>
      </c>
      <c r="I14" s="301"/>
      <c r="J14" s="301"/>
      <c r="K14" s="301"/>
      <c r="L14" s="301"/>
      <c r="M14" s="301"/>
      <c r="N14" s="302"/>
      <c r="O14" s="323" t="s">
        <v>20</v>
      </c>
      <c r="P14" s="324"/>
      <c r="Q14" s="324"/>
      <c r="R14" s="324"/>
      <c r="S14" s="324"/>
      <c r="T14" s="324"/>
      <c r="U14" s="324"/>
      <c r="V14" s="324"/>
      <c r="W14" s="21" t="s">
        <v>21</v>
      </c>
      <c r="X14" s="24" t="s">
        <v>22</v>
      </c>
      <c r="Y14" s="25" t="s">
        <v>22</v>
      </c>
    </row>
    <row r="15" spans="1:25" ht="33" customHeight="1">
      <c r="A15" s="26"/>
      <c r="B15" s="22" t="s">
        <v>23</v>
      </c>
      <c r="C15" s="296"/>
      <c r="D15" s="303"/>
      <c r="E15" s="305"/>
      <c r="F15" s="307"/>
      <c r="G15" s="354" t="s">
        <v>24</v>
      </c>
      <c r="H15" s="293" t="s">
        <v>25</v>
      </c>
      <c r="I15" s="293" t="s">
        <v>26</v>
      </c>
      <c r="J15" s="294" t="s">
        <v>27</v>
      </c>
      <c r="K15" s="293" t="s">
        <v>28</v>
      </c>
      <c r="L15" s="293" t="s">
        <v>29</v>
      </c>
      <c r="M15" s="294" t="s">
        <v>30</v>
      </c>
      <c r="N15" s="331" t="s">
        <v>31</v>
      </c>
      <c r="O15" s="294" t="s">
        <v>32</v>
      </c>
      <c r="P15" s="328" t="s">
        <v>33</v>
      </c>
      <c r="Q15" s="329"/>
      <c r="R15" s="328" t="s">
        <v>34</v>
      </c>
      <c r="S15" s="329"/>
      <c r="T15" s="294" t="s">
        <v>35</v>
      </c>
      <c r="U15" s="294" t="s">
        <v>36</v>
      </c>
      <c r="V15" s="294" t="s">
        <v>37</v>
      </c>
      <c r="W15" s="21" t="s">
        <v>38</v>
      </c>
      <c r="X15" s="22" t="s">
        <v>39</v>
      </c>
      <c r="Y15" s="25" t="s">
        <v>39</v>
      </c>
    </row>
    <row r="16" spans="1:25" ht="15.75" customHeight="1">
      <c r="A16" s="26"/>
      <c r="B16" s="29"/>
      <c r="C16" s="296"/>
      <c r="D16" s="303"/>
      <c r="E16" s="305"/>
      <c r="F16" s="307"/>
      <c r="G16" s="354"/>
      <c r="H16" s="294"/>
      <c r="I16" s="294"/>
      <c r="J16" s="294"/>
      <c r="K16" s="294"/>
      <c r="L16" s="294"/>
      <c r="M16" s="294"/>
      <c r="N16" s="332"/>
      <c r="O16" s="294"/>
      <c r="P16" s="27"/>
      <c r="Q16" s="27"/>
      <c r="R16" s="27"/>
      <c r="S16" s="27"/>
      <c r="T16" s="294"/>
      <c r="U16" s="294"/>
      <c r="V16" s="294"/>
      <c r="W16" s="21" t="s">
        <v>40</v>
      </c>
      <c r="X16" s="22" t="s">
        <v>41</v>
      </c>
      <c r="Y16" s="25" t="s">
        <v>41</v>
      </c>
    </row>
    <row r="17" spans="1:25" ht="63" customHeight="1">
      <c r="A17" s="30"/>
      <c r="B17" s="31"/>
      <c r="C17" s="297"/>
      <c r="D17" s="304"/>
      <c r="E17" s="306"/>
      <c r="F17" s="308"/>
      <c r="G17" s="355"/>
      <c r="H17" s="295"/>
      <c r="I17" s="295"/>
      <c r="J17" s="295"/>
      <c r="K17" s="295"/>
      <c r="L17" s="295"/>
      <c r="M17" s="295"/>
      <c r="N17" s="333"/>
      <c r="O17" s="295"/>
      <c r="P17" s="32" t="s">
        <v>42</v>
      </c>
      <c r="Q17" s="32" t="s">
        <v>43</v>
      </c>
      <c r="R17" s="32" t="s">
        <v>44</v>
      </c>
      <c r="S17" s="32" t="s">
        <v>45</v>
      </c>
      <c r="T17" s="295"/>
      <c r="U17" s="295"/>
      <c r="V17" s="295"/>
      <c r="W17" s="30"/>
      <c r="X17" s="28" t="s">
        <v>46</v>
      </c>
      <c r="Y17" s="33" t="s">
        <v>47</v>
      </c>
    </row>
    <row r="18" spans="1:29" ht="16.5" customHeight="1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34">
        <v>6</v>
      </c>
      <c r="G18" s="34">
        <v>7</v>
      </c>
      <c r="H18" s="34">
        <v>8</v>
      </c>
      <c r="I18" s="34">
        <v>9</v>
      </c>
      <c r="J18" s="34">
        <v>10</v>
      </c>
      <c r="K18" s="34">
        <v>11</v>
      </c>
      <c r="L18" s="34">
        <v>12</v>
      </c>
      <c r="M18" s="34">
        <v>13</v>
      </c>
      <c r="N18" s="34">
        <v>14</v>
      </c>
      <c r="O18" s="34">
        <v>15</v>
      </c>
      <c r="P18" s="34">
        <v>16</v>
      </c>
      <c r="Q18" s="34">
        <v>17</v>
      </c>
      <c r="R18" s="34">
        <v>18</v>
      </c>
      <c r="S18" s="34">
        <v>19</v>
      </c>
      <c r="T18" s="34">
        <v>20</v>
      </c>
      <c r="U18" s="34">
        <v>21</v>
      </c>
      <c r="V18" s="34">
        <v>22</v>
      </c>
      <c r="W18" s="34">
        <v>23</v>
      </c>
      <c r="X18" s="34">
        <v>24</v>
      </c>
      <c r="Y18" s="34">
        <v>25</v>
      </c>
      <c r="Z18" s="34">
        <v>26</v>
      </c>
      <c r="AA18" s="34">
        <v>27</v>
      </c>
      <c r="AB18" s="34">
        <v>28</v>
      </c>
      <c r="AC18" s="34">
        <v>29</v>
      </c>
    </row>
    <row r="19" spans="1:25" ht="34.5" customHeight="1">
      <c r="A19" s="298" t="s">
        <v>48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300"/>
    </row>
    <row r="20" spans="1:25" ht="33.75" customHeight="1">
      <c r="A20" s="318" t="s">
        <v>49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20"/>
    </row>
    <row r="21" spans="1:25" ht="24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28.5" customHeight="1">
      <c r="A22" s="37">
        <v>1</v>
      </c>
      <c r="B22" s="38" t="s">
        <v>50</v>
      </c>
      <c r="C22" s="39">
        <v>1</v>
      </c>
      <c r="D22" s="39">
        <v>24</v>
      </c>
      <c r="E22" s="40">
        <v>4853</v>
      </c>
      <c r="F22" s="41">
        <f>C22*E22</f>
        <v>4853</v>
      </c>
      <c r="G22" s="40">
        <f>ROUNDUP(F22*50%,0)</f>
        <v>2427</v>
      </c>
      <c r="H22" s="40"/>
      <c r="I22" s="40"/>
      <c r="J22" s="40"/>
      <c r="K22" s="40"/>
      <c r="L22" s="40"/>
      <c r="M22" s="40"/>
      <c r="N22" s="40">
        <f>ROUNDUP(E22*1*30%,0)</f>
        <v>1456</v>
      </c>
      <c r="O22" s="40"/>
      <c r="P22" s="40">
        <f>ROUNDUP(E22*1*33%,0)</f>
        <v>1602</v>
      </c>
      <c r="Q22" s="40"/>
      <c r="R22" s="40">
        <f>ROUNDUP(E22*25%,0)</f>
        <v>1214</v>
      </c>
      <c r="S22" s="40"/>
      <c r="T22" s="40"/>
      <c r="U22" s="40"/>
      <c r="V22" s="40"/>
      <c r="W22" s="42">
        <f>SUM(G22:V22)</f>
        <v>6699</v>
      </c>
      <c r="X22" s="43">
        <f>F22+W22</f>
        <v>11552</v>
      </c>
      <c r="Y22" s="43">
        <f>X22*12</f>
        <v>138624</v>
      </c>
    </row>
    <row r="23" spans="1:25" ht="41.25" customHeight="1">
      <c r="A23" s="37">
        <v>2</v>
      </c>
      <c r="B23" s="44" t="s">
        <v>51</v>
      </c>
      <c r="C23" s="39">
        <v>5</v>
      </c>
      <c r="D23" s="39"/>
      <c r="E23" s="40">
        <v>4610</v>
      </c>
      <c r="F23" s="41">
        <f>C23*E23</f>
        <v>23050</v>
      </c>
      <c r="G23" s="41"/>
      <c r="H23" s="40"/>
      <c r="I23" s="40"/>
      <c r="J23" s="40"/>
      <c r="K23" s="40">
        <f>ROUNDUP(E23*2*20%,0)</f>
        <v>1844</v>
      </c>
      <c r="L23" s="40"/>
      <c r="M23" s="40"/>
      <c r="N23" s="40">
        <f>ROUNDUP(E23*4*30%,0)+ROUNDUP(E23*1*20%,0)</f>
        <v>6454</v>
      </c>
      <c r="O23" s="40"/>
      <c r="P23" s="40">
        <f>ROUNDUP(E23*2*33%,0)</f>
        <v>3043</v>
      </c>
      <c r="Q23" s="40">
        <f>ROUNDUP(E23*3*25%,0)</f>
        <v>3458</v>
      </c>
      <c r="R23" s="40">
        <f>ROUNDUP(E23*2*20%,0)</f>
        <v>1844</v>
      </c>
      <c r="S23" s="40">
        <f>ROUNDUP(E23*3*15%,0)</f>
        <v>2075</v>
      </c>
      <c r="T23" s="40"/>
      <c r="U23" s="40"/>
      <c r="V23" s="40"/>
      <c r="W23" s="42">
        <f>SUM(H23:V23)</f>
        <v>18718</v>
      </c>
      <c r="X23" s="43">
        <f>F23+W23</f>
        <v>41768</v>
      </c>
      <c r="Y23" s="43">
        <f>X23*12</f>
        <v>501216</v>
      </c>
    </row>
    <row r="24" spans="1:25" ht="27" customHeight="1">
      <c r="A24" s="37">
        <v>3</v>
      </c>
      <c r="B24" s="38" t="s">
        <v>52</v>
      </c>
      <c r="C24" s="39">
        <v>17</v>
      </c>
      <c r="D24" s="39">
        <v>22</v>
      </c>
      <c r="E24" s="40">
        <v>4519</v>
      </c>
      <c r="F24" s="41">
        <f>C24*E24</f>
        <v>76823</v>
      </c>
      <c r="G24" s="41"/>
      <c r="H24" s="40"/>
      <c r="I24" s="40"/>
      <c r="J24" s="40"/>
      <c r="K24" s="40"/>
      <c r="L24" s="40"/>
      <c r="M24" s="40"/>
      <c r="N24" s="40">
        <f>ROUNDUP(F24*30%,0)</f>
        <v>23047</v>
      </c>
      <c r="O24" s="40"/>
      <c r="P24" s="40">
        <f>ROUNDUP(E24*6*33%,0)</f>
        <v>8948</v>
      </c>
      <c r="Q24" s="40">
        <f>ROUNDUP(E24*11*25%,0)</f>
        <v>12428</v>
      </c>
      <c r="R24" s="40">
        <f>ROUNDUP(E24*4*20%,0)</f>
        <v>3616</v>
      </c>
      <c r="S24" s="40">
        <f>ROUNDUP(E24*13*15%,0)</f>
        <v>8813</v>
      </c>
      <c r="T24" s="40"/>
      <c r="U24" s="40"/>
      <c r="V24" s="40"/>
      <c r="W24" s="42">
        <f>SUM(H24:V24)</f>
        <v>56852</v>
      </c>
      <c r="X24" s="43">
        <f>F24+W24</f>
        <v>133675</v>
      </c>
      <c r="Y24" s="43">
        <f>X24*12</f>
        <v>1604100</v>
      </c>
    </row>
    <row r="25" spans="1:25" ht="30" customHeight="1">
      <c r="A25" s="37"/>
      <c r="B25" s="45" t="s">
        <v>53</v>
      </c>
      <c r="C25" s="46">
        <f>SUM(C22:C24)</f>
        <v>23</v>
      </c>
      <c r="D25" s="46"/>
      <c r="E25" s="40"/>
      <c r="F25" s="47">
        <f aca="true" t="shared" si="0" ref="F25:Y25">SUM(F22:F24)</f>
        <v>104726</v>
      </c>
      <c r="G25" s="47">
        <f t="shared" si="0"/>
        <v>2427</v>
      </c>
      <c r="H25" s="48">
        <f t="shared" si="0"/>
        <v>0</v>
      </c>
      <c r="I25" s="48">
        <f t="shared" si="0"/>
        <v>0</v>
      </c>
      <c r="J25" s="48">
        <f t="shared" si="0"/>
        <v>0</v>
      </c>
      <c r="K25" s="48">
        <f t="shared" si="0"/>
        <v>1844</v>
      </c>
      <c r="L25" s="48">
        <f t="shared" si="0"/>
        <v>0</v>
      </c>
      <c r="M25" s="48">
        <f t="shared" si="0"/>
        <v>0</v>
      </c>
      <c r="N25" s="49">
        <f t="shared" si="0"/>
        <v>30957</v>
      </c>
      <c r="O25" s="48">
        <f t="shared" si="0"/>
        <v>0</v>
      </c>
      <c r="P25" s="48">
        <f t="shared" si="0"/>
        <v>13593</v>
      </c>
      <c r="Q25" s="48">
        <f t="shared" si="0"/>
        <v>15886</v>
      </c>
      <c r="R25" s="48">
        <f t="shared" si="0"/>
        <v>6674</v>
      </c>
      <c r="S25" s="48">
        <f t="shared" si="0"/>
        <v>10888</v>
      </c>
      <c r="T25" s="48">
        <f t="shared" si="0"/>
        <v>0</v>
      </c>
      <c r="U25" s="48">
        <f t="shared" si="0"/>
        <v>0</v>
      </c>
      <c r="V25" s="48">
        <f t="shared" si="0"/>
        <v>0</v>
      </c>
      <c r="W25" s="49">
        <f t="shared" si="0"/>
        <v>82269</v>
      </c>
      <c r="X25" s="50">
        <f t="shared" si="0"/>
        <v>186995</v>
      </c>
      <c r="Y25" s="50">
        <f t="shared" si="0"/>
        <v>2243940</v>
      </c>
    </row>
    <row r="26" spans="1:25" ht="15" customHeight="1">
      <c r="A26" s="37"/>
      <c r="B26" s="45"/>
      <c r="C26" s="51"/>
      <c r="D26" s="51"/>
      <c r="E26" s="42"/>
      <c r="F26" s="42"/>
      <c r="G26" s="42"/>
      <c r="H26" s="49"/>
      <c r="I26" s="49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9"/>
      <c r="X26" s="49"/>
      <c r="Y26" s="43"/>
    </row>
    <row r="27" spans="1:25" ht="54" customHeight="1">
      <c r="A27" s="312" t="s">
        <v>54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4"/>
    </row>
    <row r="28" spans="1:25" ht="46.5" customHeight="1">
      <c r="A28" s="37">
        <v>1</v>
      </c>
      <c r="B28" s="53" t="s">
        <v>55</v>
      </c>
      <c r="C28" s="39">
        <v>72</v>
      </c>
      <c r="D28" s="39">
        <v>21</v>
      </c>
      <c r="E28" s="54">
        <v>4285</v>
      </c>
      <c r="F28" s="41">
        <f>C28*E28</f>
        <v>308520</v>
      </c>
      <c r="G28" s="41"/>
      <c r="H28" s="40"/>
      <c r="I28" s="40"/>
      <c r="J28" s="40"/>
      <c r="K28" s="40">
        <f>ROUNDUP(E28*12.5*20%,0)</f>
        <v>10713</v>
      </c>
      <c r="L28" s="40"/>
      <c r="M28" s="40"/>
      <c r="N28" s="40">
        <f>ROUNDUP(F28*30%,0)</f>
        <v>92556</v>
      </c>
      <c r="O28" s="40"/>
      <c r="P28" s="40">
        <f>ROUNDUP(E28*72*33%,0)</f>
        <v>101812</v>
      </c>
      <c r="Q28" s="40"/>
      <c r="R28" s="40">
        <f>ROUNDUP(E28*71*20%,0)</f>
        <v>60847</v>
      </c>
      <c r="S28" s="40">
        <f>ROUNDUP(E28*1*15%,0)</f>
        <v>643</v>
      </c>
      <c r="T28" s="40"/>
      <c r="U28" s="40"/>
      <c r="V28" s="40"/>
      <c r="W28" s="40">
        <f aca="true" t="shared" si="1" ref="W28:W36">SUM(H28:V28)</f>
        <v>266571</v>
      </c>
      <c r="X28" s="43">
        <f aca="true" t="shared" si="2" ref="X28:X36">F28+W28</f>
        <v>575091</v>
      </c>
      <c r="Y28" s="43">
        <f aca="true" t="shared" si="3" ref="Y28:Y36">X28*12</f>
        <v>6901092</v>
      </c>
    </row>
    <row r="29" spans="1:25" ht="52.5" customHeight="1">
      <c r="A29" s="37">
        <v>2</v>
      </c>
      <c r="B29" s="53" t="s">
        <v>56</v>
      </c>
      <c r="C29" s="39">
        <f>129.25+10</f>
        <v>139.25</v>
      </c>
      <c r="D29" s="39">
        <v>20</v>
      </c>
      <c r="E29" s="54">
        <v>4051</v>
      </c>
      <c r="F29" s="41">
        <f>C29*E29</f>
        <v>564101.75</v>
      </c>
      <c r="G29" s="41"/>
      <c r="H29" s="40"/>
      <c r="I29" s="40"/>
      <c r="J29" s="40"/>
      <c r="K29" s="40">
        <f>ROUNDUP(E29*12*20%,0)</f>
        <v>9723</v>
      </c>
      <c r="L29" s="40">
        <f>ROUNDUP(E29*1*10%,0)</f>
        <v>406</v>
      </c>
      <c r="M29" s="40"/>
      <c r="N29" s="40">
        <f>ROUNDUP(F29*30%,0)</f>
        <v>169231</v>
      </c>
      <c r="O29" s="40">
        <f>ROUNDUP(E29*30%*5,0)</f>
        <v>6077</v>
      </c>
      <c r="P29" s="40">
        <f>ROUNDUP(E29*103.75*33%,0)</f>
        <v>138697</v>
      </c>
      <c r="Q29" s="40">
        <f>ROUNDUP(E29*35.5*25%,0)</f>
        <v>35953</v>
      </c>
      <c r="R29" s="40">
        <f>ROUNDUP(E29*105.75*20%,0)</f>
        <v>85679</v>
      </c>
      <c r="S29" s="40">
        <f>ROUNDUP(E29*32.5*15%,0)</f>
        <v>19749</v>
      </c>
      <c r="T29" s="40"/>
      <c r="U29" s="40"/>
      <c r="V29" s="40"/>
      <c r="W29" s="55">
        <f t="shared" si="1"/>
        <v>465515</v>
      </c>
      <c r="X29" s="43">
        <f t="shared" si="2"/>
        <v>1029616.75</v>
      </c>
      <c r="Y29" s="43">
        <f t="shared" si="3"/>
        <v>12355401</v>
      </c>
    </row>
    <row r="30" spans="1:25" ht="52.5" customHeight="1">
      <c r="A30" s="37">
        <v>3</v>
      </c>
      <c r="B30" s="53" t="s">
        <v>56</v>
      </c>
      <c r="C30" s="39">
        <f>98.25-10</f>
        <v>88.25</v>
      </c>
      <c r="D30" s="39">
        <v>19</v>
      </c>
      <c r="E30" s="54">
        <v>3806</v>
      </c>
      <c r="F30" s="41">
        <f>C30*E30</f>
        <v>335879.5</v>
      </c>
      <c r="G30" s="41"/>
      <c r="H30" s="40"/>
      <c r="I30" s="40"/>
      <c r="J30" s="40"/>
      <c r="K30" s="40"/>
      <c r="L30" s="40"/>
      <c r="M30" s="40"/>
      <c r="N30" s="40">
        <f>ROUNDUP(F30*29%,0)</f>
        <v>97406</v>
      </c>
      <c r="O30" s="40"/>
      <c r="P30" s="40"/>
      <c r="Q30" s="40">
        <f>ROUNDUP(E30*88.25*25%,0)</f>
        <v>83970</v>
      </c>
      <c r="R30" s="40">
        <f>ROUNDUP(E30*0.5*20%,0)</f>
        <v>381</v>
      </c>
      <c r="S30" s="40">
        <f>ROUNDUP(E30*87.75*15%,0)</f>
        <v>50097</v>
      </c>
      <c r="T30" s="40"/>
      <c r="U30" s="40"/>
      <c r="V30" s="40"/>
      <c r="W30" s="55">
        <f t="shared" si="1"/>
        <v>231854</v>
      </c>
      <c r="X30" s="43">
        <f t="shared" si="2"/>
        <v>567733.5</v>
      </c>
      <c r="Y30" s="43">
        <f t="shared" si="3"/>
        <v>6812802</v>
      </c>
    </row>
    <row r="31" spans="1:25" ht="63" customHeight="1">
      <c r="A31" s="37">
        <v>4</v>
      </c>
      <c r="B31" s="53" t="s">
        <v>56</v>
      </c>
      <c r="C31" s="39">
        <v>1</v>
      </c>
      <c r="D31" s="39">
        <v>16</v>
      </c>
      <c r="E31" s="54">
        <v>3105</v>
      </c>
      <c r="F31" s="41">
        <f>C31*E31</f>
        <v>3105</v>
      </c>
      <c r="G31" s="41"/>
      <c r="H31" s="40"/>
      <c r="I31" s="40"/>
      <c r="J31" s="40"/>
      <c r="K31" s="40"/>
      <c r="L31" s="40"/>
      <c r="M31" s="40"/>
      <c r="N31" s="40">
        <f>ROUNDUP(F31*30%,0)</f>
        <v>932</v>
      </c>
      <c r="O31" s="40"/>
      <c r="P31" s="40"/>
      <c r="Q31" s="40">
        <f>ROUNDUP(E31*1*25%,0)</f>
        <v>777</v>
      </c>
      <c r="R31" s="40">
        <f>ROUNDUP(E31*1*20%,0)</f>
        <v>621</v>
      </c>
      <c r="S31" s="40"/>
      <c r="T31" s="40"/>
      <c r="U31" s="40"/>
      <c r="V31" s="40"/>
      <c r="W31" s="55">
        <f t="shared" si="1"/>
        <v>2330</v>
      </c>
      <c r="X31" s="43">
        <f t="shared" si="2"/>
        <v>5435</v>
      </c>
      <c r="Y31" s="43">
        <f t="shared" si="3"/>
        <v>65220</v>
      </c>
    </row>
    <row r="32" spans="1:25" ht="56.25" customHeight="1">
      <c r="A32" s="37">
        <v>5</v>
      </c>
      <c r="B32" s="56" t="s">
        <v>57</v>
      </c>
      <c r="C32" s="39">
        <f>442.8+8.25</f>
        <v>451.05</v>
      </c>
      <c r="D32" s="39">
        <v>19</v>
      </c>
      <c r="E32" s="54">
        <v>3806</v>
      </c>
      <c r="F32" s="41">
        <f>C32*E32-0.05</f>
        <v>1716696.25</v>
      </c>
      <c r="G32" s="41"/>
      <c r="H32" s="40"/>
      <c r="I32" s="40"/>
      <c r="J32" s="40"/>
      <c r="K32" s="40"/>
      <c r="L32" s="40">
        <f>ROUNDUP(E32*2*20%,0)+ROUNDUP(E32*3*10%,0)</f>
        <v>2665</v>
      </c>
      <c r="M32" s="40"/>
      <c r="N32" s="40">
        <f>ROUNDUP(F32*29%,0)</f>
        <v>497842</v>
      </c>
      <c r="O32" s="40">
        <f>ROUNDUP(E32*30%*27,0)</f>
        <v>30829</v>
      </c>
      <c r="P32" s="40"/>
      <c r="Q32" s="40">
        <f>ROUNDUP(E32*379.8*25%,0)</f>
        <v>361380</v>
      </c>
      <c r="R32" s="40">
        <f>ROUNDUP(E32*5.5*20%,0)</f>
        <v>4187</v>
      </c>
      <c r="S32" s="40">
        <f>ROUNDUP(E32*439.55*15%,0)</f>
        <v>250940</v>
      </c>
      <c r="T32" s="40"/>
      <c r="U32" s="40">
        <f>ROUNDUP(E32*20*12%,0)</f>
        <v>9135</v>
      </c>
      <c r="V32" s="40"/>
      <c r="W32" s="57">
        <f t="shared" si="1"/>
        <v>1156978</v>
      </c>
      <c r="X32" s="43">
        <f t="shared" si="2"/>
        <v>2873674.25</v>
      </c>
      <c r="Y32" s="43">
        <f t="shared" si="3"/>
        <v>34484091</v>
      </c>
    </row>
    <row r="33" spans="1:25" ht="48" customHeight="1">
      <c r="A33" s="37">
        <v>6</v>
      </c>
      <c r="B33" s="56" t="s">
        <v>57</v>
      </c>
      <c r="C33" s="39">
        <f>87.25-7</f>
        <v>80.25</v>
      </c>
      <c r="D33" s="39">
        <v>17</v>
      </c>
      <c r="E33" s="54">
        <v>3339</v>
      </c>
      <c r="F33" s="41">
        <f>C33*E33</f>
        <v>267954.75</v>
      </c>
      <c r="G33" s="41"/>
      <c r="H33" s="40"/>
      <c r="I33" s="40"/>
      <c r="J33" s="40"/>
      <c r="K33" s="40"/>
      <c r="L33" s="40">
        <f>ROUNDUP(E33*1*10%,0)</f>
        <v>334</v>
      </c>
      <c r="M33" s="40"/>
      <c r="N33" s="40">
        <f>ROUNDUP(F33*29%,0)</f>
        <v>77707</v>
      </c>
      <c r="O33" s="40"/>
      <c r="P33" s="40"/>
      <c r="Q33" s="40"/>
      <c r="R33" s="40"/>
      <c r="S33" s="40">
        <f>ROUNDUP(E33*42.75*15%,0)</f>
        <v>21412</v>
      </c>
      <c r="T33" s="40"/>
      <c r="U33" s="40"/>
      <c r="V33" s="40"/>
      <c r="W33" s="57">
        <f t="shared" si="1"/>
        <v>99453</v>
      </c>
      <c r="X33" s="43">
        <f t="shared" si="2"/>
        <v>367407.75</v>
      </c>
      <c r="Y33" s="43">
        <f t="shared" si="3"/>
        <v>4408893</v>
      </c>
    </row>
    <row r="34" spans="1:25" ht="48" customHeight="1">
      <c r="A34" s="37">
        <v>7</v>
      </c>
      <c r="B34" s="56" t="s">
        <v>57</v>
      </c>
      <c r="C34" s="39">
        <v>12.75</v>
      </c>
      <c r="D34" s="39">
        <v>16</v>
      </c>
      <c r="E34" s="54">
        <v>3105</v>
      </c>
      <c r="F34" s="41">
        <f>C34*E34</f>
        <v>39588.75</v>
      </c>
      <c r="G34" s="41"/>
      <c r="H34" s="40"/>
      <c r="I34" s="40"/>
      <c r="J34" s="40"/>
      <c r="K34" s="40"/>
      <c r="L34" s="40"/>
      <c r="M34" s="40"/>
      <c r="N34" s="40">
        <f>ROUNDUP(F34*29%,0)</f>
        <v>11481</v>
      </c>
      <c r="O34" s="40"/>
      <c r="P34" s="40"/>
      <c r="Q34" s="40"/>
      <c r="R34" s="40"/>
      <c r="S34" s="40">
        <f>ROUNDUP(E34*11.5*15%,0)</f>
        <v>5357</v>
      </c>
      <c r="T34" s="40"/>
      <c r="U34" s="40"/>
      <c r="V34" s="40"/>
      <c r="W34" s="57">
        <f t="shared" si="1"/>
        <v>16838</v>
      </c>
      <c r="X34" s="43">
        <f t="shared" si="2"/>
        <v>56426.75</v>
      </c>
      <c r="Y34" s="43">
        <f t="shared" si="3"/>
        <v>677121</v>
      </c>
    </row>
    <row r="35" spans="1:25" ht="48" customHeight="1">
      <c r="A35" s="37">
        <v>8</v>
      </c>
      <c r="B35" s="38" t="s">
        <v>58</v>
      </c>
      <c r="C35" s="39">
        <f>178.75-1.25-1.75</f>
        <v>175.75</v>
      </c>
      <c r="D35" s="39">
        <v>17</v>
      </c>
      <c r="E35" s="54">
        <v>3339</v>
      </c>
      <c r="F35" s="41">
        <f>C35*E35</f>
        <v>586829.25</v>
      </c>
      <c r="G35" s="41"/>
      <c r="H35" s="40"/>
      <c r="I35" s="40"/>
      <c r="J35" s="40"/>
      <c r="K35" s="40"/>
      <c r="L35" s="40">
        <f>ROUNDUP(E35*13*10%,0)+ROUNDUP(E35*2*15%,0)+ROUNDUP(E35*1*20%,0)</f>
        <v>6011</v>
      </c>
      <c r="M35" s="40"/>
      <c r="N35" s="40">
        <f>154625+8</f>
        <v>154633</v>
      </c>
      <c r="O35" s="40">
        <f>ROUNDUP(E35*30%*4,0)</f>
        <v>4007</v>
      </c>
      <c r="P35" s="40"/>
      <c r="Q35" s="40"/>
      <c r="R35" s="40"/>
      <c r="S35" s="40"/>
      <c r="T35" s="40"/>
      <c r="U35" s="40"/>
      <c r="V35" s="40"/>
      <c r="W35" s="40">
        <f t="shared" si="1"/>
        <v>164651</v>
      </c>
      <c r="X35" s="43">
        <f t="shared" si="2"/>
        <v>751480.25</v>
      </c>
      <c r="Y35" s="43">
        <f t="shared" si="3"/>
        <v>9017763</v>
      </c>
    </row>
    <row r="36" spans="1:25" ht="57" customHeight="1">
      <c r="A36" s="37">
        <v>9</v>
      </c>
      <c r="B36" s="38" t="s">
        <v>59</v>
      </c>
      <c r="C36" s="39">
        <f>43.25+1.75</f>
        <v>45</v>
      </c>
      <c r="D36" s="39">
        <v>16</v>
      </c>
      <c r="E36" s="54">
        <v>3105</v>
      </c>
      <c r="F36" s="41">
        <f>C36*E36</f>
        <v>139725</v>
      </c>
      <c r="G36" s="41"/>
      <c r="H36" s="40"/>
      <c r="I36" s="40"/>
      <c r="J36" s="40"/>
      <c r="K36" s="40"/>
      <c r="L36" s="40">
        <f>ROUNDUP(E36*38*10%,0)</f>
        <v>11799</v>
      </c>
      <c r="M36" s="40"/>
      <c r="N36" s="40">
        <v>26859</v>
      </c>
      <c r="O36" s="40"/>
      <c r="P36" s="40"/>
      <c r="Q36" s="40"/>
      <c r="R36" s="40"/>
      <c r="S36" s="40"/>
      <c r="T36" s="40"/>
      <c r="U36" s="40"/>
      <c r="V36" s="40"/>
      <c r="W36" s="40">
        <f t="shared" si="1"/>
        <v>38658</v>
      </c>
      <c r="X36" s="43">
        <f t="shared" si="2"/>
        <v>178383</v>
      </c>
      <c r="Y36" s="43">
        <f t="shared" si="3"/>
        <v>2140596</v>
      </c>
    </row>
    <row r="37" spans="1:25" ht="57" customHeight="1">
      <c r="A37" s="37"/>
      <c r="B37" s="45" t="s">
        <v>60</v>
      </c>
      <c r="C37" s="58">
        <f>SUM(C28:C36)</f>
        <v>1065.3</v>
      </c>
      <c r="D37" s="59"/>
      <c r="E37" s="60"/>
      <c r="F37" s="58">
        <f aca="true" t="shared" si="4" ref="F37:Y37">SUM(F28:F36)</f>
        <v>3962400.25</v>
      </c>
      <c r="G37" s="58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20436</v>
      </c>
      <c r="L37" s="60">
        <f t="shared" si="4"/>
        <v>21215</v>
      </c>
      <c r="M37" s="60">
        <f t="shared" si="4"/>
        <v>0</v>
      </c>
      <c r="N37" s="60">
        <f t="shared" si="4"/>
        <v>1128647</v>
      </c>
      <c r="O37" s="60">
        <f t="shared" si="4"/>
        <v>40913</v>
      </c>
      <c r="P37" s="60">
        <f t="shared" si="4"/>
        <v>240509</v>
      </c>
      <c r="Q37" s="60">
        <f t="shared" si="4"/>
        <v>482080</v>
      </c>
      <c r="R37" s="60">
        <f t="shared" si="4"/>
        <v>151715</v>
      </c>
      <c r="S37" s="60">
        <f t="shared" si="4"/>
        <v>348198</v>
      </c>
      <c r="T37" s="60">
        <f t="shared" si="4"/>
        <v>0</v>
      </c>
      <c r="U37" s="60">
        <f t="shared" si="4"/>
        <v>9135</v>
      </c>
      <c r="V37" s="60">
        <f t="shared" si="4"/>
        <v>0</v>
      </c>
      <c r="W37" s="58">
        <f t="shared" si="4"/>
        <v>2442848</v>
      </c>
      <c r="X37" s="61">
        <f t="shared" si="4"/>
        <v>6405248.25</v>
      </c>
      <c r="Y37" s="61">
        <f t="shared" si="4"/>
        <v>76862979</v>
      </c>
    </row>
    <row r="38" spans="1:25" ht="28.5" customHeight="1">
      <c r="A38" s="315" t="s">
        <v>61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7"/>
      <c r="Y38" s="40"/>
    </row>
    <row r="39" spans="1:25" ht="19.5" customHeight="1">
      <c r="A39" s="309" t="s">
        <v>62</v>
      </c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1"/>
      <c r="Y39" s="40"/>
    </row>
    <row r="40" spans="1:25" ht="24.75" customHeight="1">
      <c r="A40" s="62">
        <v>1</v>
      </c>
      <c r="B40" s="63" t="s">
        <v>63</v>
      </c>
      <c r="C40" s="64">
        <f>82.75+2+1+0.5-0.25-1+1</f>
        <v>86</v>
      </c>
      <c r="D40" s="65">
        <v>11</v>
      </c>
      <c r="E40" s="65">
        <v>2193</v>
      </c>
      <c r="F40" s="64">
        <f>E40*C40</f>
        <v>188598</v>
      </c>
      <c r="G40" s="64"/>
      <c r="H40" s="41"/>
      <c r="I40" s="42">
        <f>ROUNDUP(F40*20%,0)</f>
        <v>37720</v>
      </c>
      <c r="J40" s="42"/>
      <c r="K40" s="42"/>
      <c r="L40" s="42"/>
      <c r="M40" s="42"/>
      <c r="N40" s="42">
        <f>ROUNDUP(F40*30%,0)</f>
        <v>56580</v>
      </c>
      <c r="O40" s="42"/>
      <c r="P40" s="42"/>
      <c r="Q40" s="42"/>
      <c r="R40" s="42"/>
      <c r="S40" s="42">
        <f>ROUNDUP(E40*15%,0)</f>
        <v>329</v>
      </c>
      <c r="T40" s="42"/>
      <c r="U40" s="42"/>
      <c r="V40" s="42"/>
      <c r="W40" s="66">
        <f aca="true" t="shared" si="5" ref="W40:W51">SUM(H40:V40)</f>
        <v>94629</v>
      </c>
      <c r="X40" s="41">
        <f aca="true" t="shared" si="6" ref="X40:X51">F40+W40</f>
        <v>283227</v>
      </c>
      <c r="Y40" s="41">
        <f aca="true" t="shared" si="7" ref="Y40:Y51">X40*12</f>
        <v>3398724</v>
      </c>
    </row>
    <row r="41" spans="1:25" ht="25.5" customHeight="1">
      <c r="A41" s="62">
        <v>2</v>
      </c>
      <c r="B41" s="63" t="s">
        <v>64</v>
      </c>
      <c r="C41" s="65">
        <f>29+1-1-2+1</f>
        <v>28</v>
      </c>
      <c r="D41" s="65">
        <v>10</v>
      </c>
      <c r="E41" s="65">
        <v>2026</v>
      </c>
      <c r="F41" s="64">
        <f>E41*C41</f>
        <v>56728</v>
      </c>
      <c r="G41" s="64"/>
      <c r="H41" s="41"/>
      <c r="I41" s="41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3">
        <f t="shared" si="5"/>
        <v>0</v>
      </c>
      <c r="X41" s="41">
        <f t="shared" si="6"/>
        <v>56728</v>
      </c>
      <c r="Y41" s="41">
        <f t="shared" si="7"/>
        <v>680736</v>
      </c>
    </row>
    <row r="42" spans="1:25" ht="19.5" customHeight="1">
      <c r="A42" s="62">
        <v>3</v>
      </c>
      <c r="B42" s="63" t="s">
        <v>65</v>
      </c>
      <c r="C42" s="64">
        <f>300.25+1+1+3+3.75+2-0.75-1</f>
        <v>309.25</v>
      </c>
      <c r="D42" s="65">
        <v>9</v>
      </c>
      <c r="E42" s="65">
        <v>1925</v>
      </c>
      <c r="F42" s="64">
        <f>E42*C42</f>
        <v>595306.25</v>
      </c>
      <c r="G42" s="64"/>
      <c r="H42" s="41"/>
      <c r="I42" s="41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3">
        <f t="shared" si="5"/>
        <v>0</v>
      </c>
      <c r="X42" s="41">
        <f t="shared" si="6"/>
        <v>595306.25</v>
      </c>
      <c r="Y42" s="41">
        <f t="shared" si="7"/>
        <v>7143675</v>
      </c>
    </row>
    <row r="43" spans="1:25" ht="28.5" customHeight="1">
      <c r="A43" s="62">
        <v>4</v>
      </c>
      <c r="B43" s="63" t="s">
        <v>66</v>
      </c>
      <c r="C43" s="65">
        <f>22.75-0.5-1-1-1+1-1+0.25</f>
        <v>19.5</v>
      </c>
      <c r="D43" s="65">
        <v>8</v>
      </c>
      <c r="E43" s="65">
        <v>1825</v>
      </c>
      <c r="F43" s="64">
        <f>E43*C43</f>
        <v>35587.5</v>
      </c>
      <c r="G43" s="64"/>
      <c r="H43" s="41"/>
      <c r="I43" s="41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3">
        <f t="shared" si="5"/>
        <v>0</v>
      </c>
      <c r="X43" s="41">
        <f t="shared" si="6"/>
        <v>35587.5</v>
      </c>
      <c r="Y43" s="41">
        <f t="shared" si="7"/>
        <v>427050</v>
      </c>
    </row>
    <row r="44" spans="1:25" ht="24.75" customHeight="1">
      <c r="A44" s="62">
        <v>5</v>
      </c>
      <c r="B44" s="63" t="s">
        <v>67</v>
      </c>
      <c r="C44" s="64">
        <f>11+1+1+0.25+0.05+1</f>
        <v>14.3</v>
      </c>
      <c r="D44" s="65">
        <v>7</v>
      </c>
      <c r="E44" s="65">
        <v>1714</v>
      </c>
      <c r="F44" s="64">
        <f>E44*C44+0.3+0.25</f>
        <v>24510.75</v>
      </c>
      <c r="G44" s="64"/>
      <c r="H44" s="41"/>
      <c r="I44" s="41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3">
        <f t="shared" si="5"/>
        <v>0</v>
      </c>
      <c r="X44" s="41">
        <f t="shared" si="6"/>
        <v>24510.75</v>
      </c>
      <c r="Y44" s="41">
        <f t="shared" si="7"/>
        <v>294129</v>
      </c>
    </row>
    <row r="45" spans="1:25" ht="23.25" customHeight="1">
      <c r="A45" s="62">
        <v>6</v>
      </c>
      <c r="B45" s="63" t="s">
        <v>68</v>
      </c>
      <c r="C45" s="65">
        <f>27.75-1-0.75-1+0.5-1-0.5-1+5+8+4</f>
        <v>40</v>
      </c>
      <c r="D45" s="65">
        <v>7</v>
      </c>
      <c r="E45" s="65">
        <v>1714</v>
      </c>
      <c r="F45" s="64">
        <f aca="true" t="shared" si="8" ref="F45:F51">E45*C45</f>
        <v>68560</v>
      </c>
      <c r="G45" s="64"/>
      <c r="H45" s="41"/>
      <c r="I45" s="41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3">
        <f t="shared" si="5"/>
        <v>0</v>
      </c>
      <c r="X45" s="41">
        <f t="shared" si="6"/>
        <v>68560</v>
      </c>
      <c r="Y45" s="41">
        <f t="shared" si="7"/>
        <v>822720</v>
      </c>
    </row>
    <row r="46" spans="1:25" ht="23.25" customHeight="1">
      <c r="A46" s="62">
        <v>7</v>
      </c>
      <c r="B46" s="63" t="s">
        <v>69</v>
      </c>
      <c r="C46" s="65">
        <f>1+0.75</f>
        <v>1.75</v>
      </c>
      <c r="D46" s="65">
        <v>6</v>
      </c>
      <c r="E46" s="65">
        <v>1614</v>
      </c>
      <c r="F46" s="64">
        <f t="shared" si="8"/>
        <v>2824.5</v>
      </c>
      <c r="G46" s="64"/>
      <c r="H46" s="41"/>
      <c r="I46" s="41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3">
        <f t="shared" si="5"/>
        <v>0</v>
      </c>
      <c r="X46" s="41">
        <f t="shared" si="6"/>
        <v>2824.5</v>
      </c>
      <c r="Y46" s="41">
        <f t="shared" si="7"/>
        <v>33894</v>
      </c>
    </row>
    <row r="47" spans="1:25" ht="19.5" customHeight="1">
      <c r="A47" s="62">
        <v>8</v>
      </c>
      <c r="B47" s="63" t="s">
        <v>70</v>
      </c>
      <c r="C47" s="65">
        <f>59-0.75+1-1-2+2-1.25-1-7-1</f>
        <v>48</v>
      </c>
      <c r="D47" s="65">
        <v>11</v>
      </c>
      <c r="E47" s="65">
        <v>2193</v>
      </c>
      <c r="F47" s="64">
        <f t="shared" si="8"/>
        <v>105264</v>
      </c>
      <c r="G47" s="64"/>
      <c r="H47" s="41"/>
      <c r="I47" s="42">
        <f>ROUNDUP(F47*20%,0)</f>
        <v>21053</v>
      </c>
      <c r="J47" s="42"/>
      <c r="K47" s="42"/>
      <c r="L47" s="42"/>
      <c r="M47" s="42"/>
      <c r="N47" s="42">
        <f>ROUNDUP(F47*30%,0)</f>
        <v>31580</v>
      </c>
      <c r="O47" s="42"/>
      <c r="P47" s="42"/>
      <c r="Q47" s="42"/>
      <c r="R47" s="42"/>
      <c r="S47" s="42">
        <f>ROUNDUP(E47*15%,0)</f>
        <v>329</v>
      </c>
      <c r="T47" s="42"/>
      <c r="U47" s="42"/>
      <c r="V47" s="42"/>
      <c r="W47" s="66">
        <f t="shared" si="5"/>
        <v>52962</v>
      </c>
      <c r="X47" s="41">
        <f t="shared" si="6"/>
        <v>158226</v>
      </c>
      <c r="Y47" s="41">
        <f t="shared" si="7"/>
        <v>1898712</v>
      </c>
    </row>
    <row r="48" spans="1:25" ht="23.25" customHeight="1">
      <c r="A48" s="62">
        <v>9</v>
      </c>
      <c r="B48" s="63" t="s">
        <v>71</v>
      </c>
      <c r="C48" s="65">
        <f>19.25-2-1-1-1.25+0.5</f>
        <v>14.5</v>
      </c>
      <c r="D48" s="65">
        <v>6</v>
      </c>
      <c r="E48" s="65">
        <v>1614</v>
      </c>
      <c r="F48" s="64">
        <f t="shared" si="8"/>
        <v>23403</v>
      </c>
      <c r="G48" s="64"/>
      <c r="H48" s="41"/>
      <c r="I48" s="41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3">
        <f t="shared" si="5"/>
        <v>0</v>
      </c>
      <c r="X48" s="41">
        <f t="shared" si="6"/>
        <v>23403</v>
      </c>
      <c r="Y48" s="41">
        <f t="shared" si="7"/>
        <v>280836</v>
      </c>
    </row>
    <row r="49" spans="1:25" ht="24" customHeight="1">
      <c r="A49" s="62">
        <v>10</v>
      </c>
      <c r="B49" s="63" t="s">
        <v>72</v>
      </c>
      <c r="C49" s="65">
        <f>21.25-1-0.5-0.5-1-1-0.25-0.5+1-1+1</f>
        <v>17.5</v>
      </c>
      <c r="D49" s="65">
        <v>5</v>
      </c>
      <c r="E49" s="65">
        <v>1514</v>
      </c>
      <c r="F49" s="64">
        <f t="shared" si="8"/>
        <v>26495</v>
      </c>
      <c r="G49" s="64"/>
      <c r="H49" s="41"/>
      <c r="I49" s="41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3">
        <f t="shared" si="5"/>
        <v>0</v>
      </c>
      <c r="X49" s="41">
        <f t="shared" si="6"/>
        <v>26495</v>
      </c>
      <c r="Y49" s="41">
        <f t="shared" si="7"/>
        <v>317940</v>
      </c>
    </row>
    <row r="50" spans="1:25" ht="20.25" customHeight="1">
      <c r="A50" s="62">
        <v>11</v>
      </c>
      <c r="B50" s="63" t="s">
        <v>73</v>
      </c>
      <c r="C50" s="65">
        <f>22.75-7.5-5+7-1-1-1-1+38.5+10.25+0.5-0.25-5-8-10.25-8</f>
        <v>31</v>
      </c>
      <c r="D50" s="65">
        <v>4</v>
      </c>
      <c r="E50" s="65">
        <v>1414</v>
      </c>
      <c r="F50" s="64">
        <f t="shared" si="8"/>
        <v>43834</v>
      </c>
      <c r="G50" s="64"/>
      <c r="H50" s="41"/>
      <c r="I50" s="41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3">
        <f t="shared" si="5"/>
        <v>0</v>
      </c>
      <c r="X50" s="41">
        <f t="shared" si="6"/>
        <v>43834</v>
      </c>
      <c r="Y50" s="41">
        <f t="shared" si="7"/>
        <v>526008</v>
      </c>
    </row>
    <row r="51" spans="1:25" ht="25.5" customHeight="1">
      <c r="A51" s="62">
        <v>12</v>
      </c>
      <c r="B51" s="63" t="s">
        <v>74</v>
      </c>
      <c r="C51" s="65">
        <v>3</v>
      </c>
      <c r="D51" s="65">
        <v>9</v>
      </c>
      <c r="E51" s="65">
        <v>1925</v>
      </c>
      <c r="F51" s="64">
        <f t="shared" si="8"/>
        <v>5775</v>
      </c>
      <c r="G51" s="64"/>
      <c r="H51" s="40"/>
      <c r="I51" s="40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3">
        <f t="shared" si="5"/>
        <v>0</v>
      </c>
      <c r="X51" s="41">
        <f t="shared" si="6"/>
        <v>5775</v>
      </c>
      <c r="Y51" s="41">
        <f t="shared" si="7"/>
        <v>69300</v>
      </c>
    </row>
    <row r="52" spans="1:25" ht="19.5" customHeight="1">
      <c r="A52" s="67"/>
      <c r="B52" s="63"/>
      <c r="C52" s="68">
        <f>SUM(C40:C51)</f>
        <v>612.8</v>
      </c>
      <c r="D52" s="68"/>
      <c r="E52" s="68"/>
      <c r="F52" s="68">
        <f>SUM(F40:F51)</f>
        <v>1176886</v>
      </c>
      <c r="G52" s="68"/>
      <c r="H52" s="68">
        <f aca="true" t="shared" si="9" ref="H52:Y52">SUM(H40:H51)</f>
        <v>0</v>
      </c>
      <c r="I52" s="69">
        <f t="shared" si="9"/>
        <v>58773</v>
      </c>
      <c r="J52" s="70">
        <f t="shared" si="9"/>
        <v>0</v>
      </c>
      <c r="K52" s="70">
        <f t="shared" si="9"/>
        <v>0</v>
      </c>
      <c r="L52" s="70">
        <f t="shared" si="9"/>
        <v>0</v>
      </c>
      <c r="M52" s="70">
        <f t="shared" si="9"/>
        <v>0</v>
      </c>
      <c r="N52" s="71">
        <f t="shared" si="9"/>
        <v>88160</v>
      </c>
      <c r="O52" s="70">
        <f t="shared" si="9"/>
        <v>0</v>
      </c>
      <c r="P52" s="70">
        <f t="shared" si="9"/>
        <v>0</v>
      </c>
      <c r="Q52" s="70">
        <f t="shared" si="9"/>
        <v>0</v>
      </c>
      <c r="R52" s="70">
        <f t="shared" si="9"/>
        <v>0</v>
      </c>
      <c r="S52" s="70">
        <f t="shared" si="9"/>
        <v>658</v>
      </c>
      <c r="T52" s="70">
        <f t="shared" si="9"/>
        <v>0</v>
      </c>
      <c r="U52" s="72">
        <f t="shared" si="9"/>
        <v>0</v>
      </c>
      <c r="V52" s="70">
        <f t="shared" si="9"/>
        <v>0</v>
      </c>
      <c r="W52" s="71">
        <f t="shared" si="9"/>
        <v>147591</v>
      </c>
      <c r="X52" s="68">
        <f t="shared" si="9"/>
        <v>1324477</v>
      </c>
      <c r="Y52" s="68">
        <f t="shared" si="9"/>
        <v>15893724</v>
      </c>
    </row>
    <row r="53" spans="1:25" ht="19.5" customHeight="1">
      <c r="A53" s="290" t="s">
        <v>75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2"/>
      <c r="Y53" s="40"/>
    </row>
    <row r="54" spans="1:25" ht="19.5" customHeight="1">
      <c r="A54" s="62">
        <v>1</v>
      </c>
      <c r="B54" s="63" t="s">
        <v>76</v>
      </c>
      <c r="C54" s="65">
        <f>14-0.25-0.75+1</f>
        <v>14</v>
      </c>
      <c r="D54" s="62">
        <v>10</v>
      </c>
      <c r="E54" s="65">
        <v>2026</v>
      </c>
      <c r="F54" s="64">
        <f aca="true" t="shared" si="10" ref="F54:F61">E54*C54</f>
        <v>28364</v>
      </c>
      <c r="G54" s="64"/>
      <c r="H54" s="43"/>
      <c r="I54" s="43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3">
        <f aca="true" t="shared" si="11" ref="W54:W62">SUM(H54:V54)</f>
        <v>0</v>
      </c>
      <c r="X54" s="41">
        <f aca="true" t="shared" si="12" ref="X54:X61">F54+W54</f>
        <v>28364</v>
      </c>
      <c r="Y54" s="41">
        <f aca="true" t="shared" si="13" ref="Y54:Y61">X54*12</f>
        <v>340368</v>
      </c>
    </row>
    <row r="55" spans="1:25" ht="25.5" customHeight="1">
      <c r="A55" s="62">
        <v>2</v>
      </c>
      <c r="B55" s="63" t="s">
        <v>64</v>
      </c>
      <c r="C55" s="65">
        <v>3</v>
      </c>
      <c r="D55" s="62">
        <v>10</v>
      </c>
      <c r="E55" s="65">
        <v>2026</v>
      </c>
      <c r="F55" s="64">
        <f t="shared" si="10"/>
        <v>6078</v>
      </c>
      <c r="G55" s="64"/>
      <c r="H55" s="43"/>
      <c r="I55" s="43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3">
        <f t="shared" si="11"/>
        <v>0</v>
      </c>
      <c r="X55" s="41">
        <f t="shared" si="12"/>
        <v>6078</v>
      </c>
      <c r="Y55" s="41">
        <f t="shared" si="13"/>
        <v>72936</v>
      </c>
    </row>
    <row r="56" spans="1:25" ht="30" customHeight="1">
      <c r="A56" s="62">
        <v>3</v>
      </c>
      <c r="B56" s="67" t="s">
        <v>77</v>
      </c>
      <c r="C56" s="65">
        <f>30-0.5+1-1</f>
        <v>29.5</v>
      </c>
      <c r="D56" s="62">
        <v>9</v>
      </c>
      <c r="E56" s="65">
        <v>1925</v>
      </c>
      <c r="F56" s="64">
        <f t="shared" si="10"/>
        <v>56787.5</v>
      </c>
      <c r="G56" s="64"/>
      <c r="H56" s="43"/>
      <c r="I56" s="43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3">
        <f t="shared" si="11"/>
        <v>0</v>
      </c>
      <c r="X56" s="41">
        <f t="shared" si="12"/>
        <v>56787.5</v>
      </c>
      <c r="Y56" s="41">
        <f t="shared" si="13"/>
        <v>681450</v>
      </c>
    </row>
    <row r="57" spans="1:25" ht="19.5" customHeight="1">
      <c r="A57" s="62">
        <v>4</v>
      </c>
      <c r="B57" s="63" t="s">
        <v>65</v>
      </c>
      <c r="C57" s="65">
        <f>7+1</f>
        <v>8</v>
      </c>
      <c r="D57" s="62">
        <v>9</v>
      </c>
      <c r="E57" s="65">
        <v>1925</v>
      </c>
      <c r="F57" s="64">
        <f t="shared" si="10"/>
        <v>15400</v>
      </c>
      <c r="G57" s="64"/>
      <c r="H57" s="43"/>
      <c r="I57" s="43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3">
        <f t="shared" si="11"/>
        <v>0</v>
      </c>
      <c r="X57" s="41">
        <f t="shared" si="12"/>
        <v>15400</v>
      </c>
      <c r="Y57" s="41">
        <f t="shared" si="13"/>
        <v>184800</v>
      </c>
    </row>
    <row r="58" spans="1:25" ht="19.5" customHeight="1">
      <c r="A58" s="62">
        <v>5</v>
      </c>
      <c r="B58" s="63" t="s">
        <v>66</v>
      </c>
      <c r="C58" s="65">
        <v>2</v>
      </c>
      <c r="D58" s="62">
        <v>8</v>
      </c>
      <c r="E58" s="65">
        <v>1825</v>
      </c>
      <c r="F58" s="64">
        <f t="shared" si="10"/>
        <v>3650</v>
      </c>
      <c r="G58" s="64"/>
      <c r="H58" s="43"/>
      <c r="I58" s="43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3">
        <f t="shared" si="11"/>
        <v>0</v>
      </c>
      <c r="X58" s="41">
        <f t="shared" si="12"/>
        <v>3650</v>
      </c>
      <c r="Y58" s="41">
        <f t="shared" si="13"/>
        <v>43800</v>
      </c>
    </row>
    <row r="59" spans="1:25" ht="19.5" customHeight="1">
      <c r="A59" s="62">
        <v>6</v>
      </c>
      <c r="B59" s="63" t="s">
        <v>67</v>
      </c>
      <c r="C59" s="65">
        <f>2-1</f>
        <v>1</v>
      </c>
      <c r="D59" s="62">
        <v>7</v>
      </c>
      <c r="E59" s="65">
        <v>1714</v>
      </c>
      <c r="F59" s="64">
        <f t="shared" si="10"/>
        <v>1714</v>
      </c>
      <c r="G59" s="64"/>
      <c r="H59" s="43"/>
      <c r="I59" s="43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3">
        <f t="shared" si="11"/>
        <v>0</v>
      </c>
      <c r="X59" s="41">
        <f t="shared" si="12"/>
        <v>1714</v>
      </c>
      <c r="Y59" s="41">
        <f t="shared" si="13"/>
        <v>20568</v>
      </c>
    </row>
    <row r="60" spans="1:25" ht="19.5" customHeight="1">
      <c r="A60" s="62">
        <v>7</v>
      </c>
      <c r="B60" s="63" t="s">
        <v>78</v>
      </c>
      <c r="C60" s="65">
        <f>1+9+5</f>
        <v>15</v>
      </c>
      <c r="D60" s="62">
        <v>4</v>
      </c>
      <c r="E60" s="65">
        <v>1414</v>
      </c>
      <c r="F60" s="64">
        <f t="shared" si="10"/>
        <v>21210</v>
      </c>
      <c r="G60" s="64"/>
      <c r="H60" s="43"/>
      <c r="I60" s="43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3">
        <f t="shared" si="11"/>
        <v>0</v>
      </c>
      <c r="X60" s="41">
        <f t="shared" si="12"/>
        <v>21210</v>
      </c>
      <c r="Y60" s="41">
        <f t="shared" si="13"/>
        <v>254520</v>
      </c>
    </row>
    <row r="61" spans="1:25" ht="27" customHeight="1">
      <c r="A61" s="62">
        <v>8</v>
      </c>
      <c r="B61" s="63" t="s">
        <v>79</v>
      </c>
      <c r="C61" s="65">
        <v>1</v>
      </c>
      <c r="D61" s="62">
        <v>7</v>
      </c>
      <c r="E61" s="65">
        <v>1714</v>
      </c>
      <c r="F61" s="64">
        <f t="shared" si="10"/>
        <v>1714</v>
      </c>
      <c r="G61" s="64"/>
      <c r="H61" s="43"/>
      <c r="I61" s="43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3">
        <f t="shared" si="11"/>
        <v>0</v>
      </c>
      <c r="X61" s="41">
        <f t="shared" si="12"/>
        <v>1714</v>
      </c>
      <c r="Y61" s="41">
        <f t="shared" si="13"/>
        <v>20568</v>
      </c>
    </row>
    <row r="62" spans="1:25" ht="19.5" customHeight="1">
      <c r="A62" s="67"/>
      <c r="B62" s="63"/>
      <c r="C62" s="73">
        <f>SUM(C54:C61)</f>
        <v>73.5</v>
      </c>
      <c r="D62" s="73"/>
      <c r="E62" s="73"/>
      <c r="F62" s="70">
        <f>SUM(F54:F61)</f>
        <v>134917.5</v>
      </c>
      <c r="G62" s="70"/>
      <c r="H62" s="74">
        <f aca="true" t="shared" si="14" ref="H62:V62">SUM(H54:H61)</f>
        <v>0</v>
      </c>
      <c r="I62" s="74">
        <f t="shared" si="14"/>
        <v>0</v>
      </c>
      <c r="J62" s="74">
        <f t="shared" si="14"/>
        <v>0</v>
      </c>
      <c r="K62" s="74">
        <f t="shared" si="14"/>
        <v>0</v>
      </c>
      <c r="L62" s="74">
        <f t="shared" si="14"/>
        <v>0</v>
      </c>
      <c r="M62" s="74">
        <f t="shared" si="14"/>
        <v>0</v>
      </c>
      <c r="N62" s="74">
        <f t="shared" si="14"/>
        <v>0</v>
      </c>
      <c r="O62" s="74">
        <f t="shared" si="14"/>
        <v>0</v>
      </c>
      <c r="P62" s="74">
        <f t="shared" si="14"/>
        <v>0</v>
      </c>
      <c r="Q62" s="74">
        <f t="shared" si="14"/>
        <v>0</v>
      </c>
      <c r="R62" s="74">
        <f t="shared" si="14"/>
        <v>0</v>
      </c>
      <c r="S62" s="74">
        <f t="shared" si="14"/>
        <v>0</v>
      </c>
      <c r="T62" s="74">
        <f t="shared" si="14"/>
        <v>0</v>
      </c>
      <c r="U62" s="74">
        <f t="shared" si="14"/>
        <v>0</v>
      </c>
      <c r="V62" s="74">
        <f t="shared" si="14"/>
        <v>0</v>
      </c>
      <c r="W62" s="43">
        <f t="shared" si="11"/>
        <v>0</v>
      </c>
      <c r="X62" s="68">
        <f>SUM(X54:X61)</f>
        <v>134917.5</v>
      </c>
      <c r="Y62" s="68">
        <f>SUM(Y54:Y61)</f>
        <v>1619010</v>
      </c>
    </row>
    <row r="63" spans="1:25" ht="19.5" customHeight="1">
      <c r="A63" s="42"/>
      <c r="B63" s="42"/>
      <c r="C63" s="42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0"/>
      <c r="Y63" s="40"/>
    </row>
    <row r="64" spans="1:25" ht="15.75" customHeight="1">
      <c r="A64" s="271" t="s">
        <v>80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3"/>
    </row>
    <row r="65" spans="1:25" ht="19.5" customHeight="1">
      <c r="A65" s="75">
        <v>1</v>
      </c>
      <c r="B65" s="63" t="s">
        <v>81</v>
      </c>
      <c r="C65" s="37">
        <v>1</v>
      </c>
      <c r="D65" s="37">
        <v>12</v>
      </c>
      <c r="E65" s="37">
        <v>2360</v>
      </c>
      <c r="F65" s="76">
        <f>E65*C65</f>
        <v>2360</v>
      </c>
      <c r="G65" s="76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>
        <f>SUM(H65:V65)</f>
        <v>0</v>
      </c>
      <c r="X65" s="41">
        <f>W65+F65</f>
        <v>2360</v>
      </c>
      <c r="Y65" s="41">
        <f>X65*12</f>
        <v>28320</v>
      </c>
    </row>
    <row r="66" spans="1:25" ht="19.5" customHeight="1">
      <c r="A66" s="75">
        <v>2</v>
      </c>
      <c r="B66" s="63" t="s">
        <v>82</v>
      </c>
      <c r="C66" s="62">
        <v>1</v>
      </c>
      <c r="D66" s="62">
        <v>11</v>
      </c>
      <c r="E66" s="42">
        <v>2193</v>
      </c>
      <c r="F66" s="76">
        <f>E66*C66</f>
        <v>2193</v>
      </c>
      <c r="G66" s="76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>
        <f>SUM(H66:V66)</f>
        <v>0</v>
      </c>
      <c r="X66" s="41">
        <f>W66+F66</f>
        <v>2193</v>
      </c>
      <c r="Y66" s="41">
        <f>X66*12</f>
        <v>26316</v>
      </c>
    </row>
    <row r="67" spans="1:25" s="79" customFormat="1" ht="16.5" customHeight="1">
      <c r="A67" s="77"/>
      <c r="B67" s="78"/>
      <c r="C67" s="74">
        <f>SUM(C65:C66)</f>
        <v>2</v>
      </c>
      <c r="D67" s="74"/>
      <c r="E67" s="77"/>
      <c r="F67" s="70">
        <f>SUM(F65:F66)</f>
        <v>4553</v>
      </c>
      <c r="G67" s="70"/>
      <c r="H67" s="71">
        <f aca="true" t="shared" si="15" ref="H67:Y67">SUM(H65:H66)</f>
        <v>0</v>
      </c>
      <c r="I67" s="71">
        <f t="shared" si="15"/>
        <v>0</v>
      </c>
      <c r="J67" s="71">
        <f t="shared" si="15"/>
        <v>0</v>
      </c>
      <c r="K67" s="71">
        <f t="shared" si="15"/>
        <v>0</v>
      </c>
      <c r="L67" s="71">
        <f t="shared" si="15"/>
        <v>0</v>
      </c>
      <c r="M67" s="71">
        <f t="shared" si="15"/>
        <v>0</v>
      </c>
      <c r="N67" s="71">
        <f t="shared" si="15"/>
        <v>0</v>
      </c>
      <c r="O67" s="71">
        <f t="shared" si="15"/>
        <v>0</v>
      </c>
      <c r="P67" s="71">
        <f t="shared" si="15"/>
        <v>0</v>
      </c>
      <c r="Q67" s="71">
        <f t="shared" si="15"/>
        <v>0</v>
      </c>
      <c r="R67" s="71">
        <f t="shared" si="15"/>
        <v>0</v>
      </c>
      <c r="S67" s="71">
        <f t="shared" si="15"/>
        <v>0</v>
      </c>
      <c r="T67" s="71">
        <f t="shared" si="15"/>
        <v>0</v>
      </c>
      <c r="U67" s="71">
        <f t="shared" si="15"/>
        <v>0</v>
      </c>
      <c r="V67" s="71">
        <f t="shared" si="15"/>
        <v>0</v>
      </c>
      <c r="W67" s="71">
        <f t="shared" si="15"/>
        <v>0</v>
      </c>
      <c r="X67" s="70">
        <f t="shared" si="15"/>
        <v>4553</v>
      </c>
      <c r="Y67" s="70">
        <f t="shared" si="15"/>
        <v>54636</v>
      </c>
    </row>
    <row r="68" spans="1:25" ht="24.75" customHeight="1">
      <c r="A68" s="290" t="s">
        <v>83</v>
      </c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2"/>
    </row>
    <row r="69" spans="1:25" ht="18.75" customHeight="1">
      <c r="A69" s="62">
        <v>1</v>
      </c>
      <c r="B69" s="63" t="s">
        <v>84</v>
      </c>
      <c r="C69" s="62">
        <v>1</v>
      </c>
      <c r="D69" s="62">
        <v>10</v>
      </c>
      <c r="E69" s="42">
        <v>2026</v>
      </c>
      <c r="F69" s="43">
        <f>E69*C69</f>
        <v>2026</v>
      </c>
      <c r="G69" s="43"/>
      <c r="H69" s="43"/>
      <c r="I69" s="43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3">
        <f aca="true" t="shared" si="16" ref="W69:W74">SUM(H69:V69)</f>
        <v>0</v>
      </c>
      <c r="X69" s="41">
        <f>F69+W69</f>
        <v>2026</v>
      </c>
      <c r="Y69" s="80">
        <f>X69*12</f>
        <v>24312</v>
      </c>
    </row>
    <row r="70" spans="1:25" ht="16.5" customHeight="1">
      <c r="A70" s="62">
        <v>2</v>
      </c>
      <c r="B70" s="63" t="s">
        <v>65</v>
      </c>
      <c r="C70" s="62">
        <v>5</v>
      </c>
      <c r="D70" s="62">
        <v>9</v>
      </c>
      <c r="E70" s="42">
        <v>1925</v>
      </c>
      <c r="F70" s="43">
        <f>E70*C70</f>
        <v>9625</v>
      </c>
      <c r="G70" s="43"/>
      <c r="H70" s="43"/>
      <c r="I70" s="43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3">
        <f t="shared" si="16"/>
        <v>0</v>
      </c>
      <c r="X70" s="41">
        <f>F70+W70</f>
        <v>9625</v>
      </c>
      <c r="Y70" s="80">
        <f>X70*12</f>
        <v>115500</v>
      </c>
    </row>
    <row r="71" spans="1:25" ht="18.75" customHeight="1">
      <c r="A71" s="62">
        <v>3</v>
      </c>
      <c r="B71" s="63" t="s">
        <v>85</v>
      </c>
      <c r="C71" s="62">
        <v>1</v>
      </c>
      <c r="D71" s="62">
        <v>7</v>
      </c>
      <c r="E71" s="42">
        <v>1714</v>
      </c>
      <c r="F71" s="43">
        <f>E71*C71</f>
        <v>1714</v>
      </c>
      <c r="G71" s="43"/>
      <c r="H71" s="43"/>
      <c r="I71" s="43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3">
        <f t="shared" si="16"/>
        <v>0</v>
      </c>
      <c r="X71" s="41">
        <f>F71+W71</f>
        <v>1714</v>
      </c>
      <c r="Y71" s="80">
        <f>X71*12</f>
        <v>20568</v>
      </c>
    </row>
    <row r="72" spans="1:25" ht="18" customHeight="1">
      <c r="A72" s="62">
        <v>4</v>
      </c>
      <c r="B72" s="63" t="s">
        <v>86</v>
      </c>
      <c r="C72" s="62">
        <v>0.5</v>
      </c>
      <c r="D72" s="62">
        <v>7</v>
      </c>
      <c r="E72" s="42">
        <v>1714</v>
      </c>
      <c r="F72" s="43">
        <f>E72*C72</f>
        <v>857</v>
      </c>
      <c r="G72" s="43"/>
      <c r="H72" s="43"/>
      <c r="I72" s="43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3">
        <f t="shared" si="16"/>
        <v>0</v>
      </c>
      <c r="X72" s="41">
        <f>F72+W72</f>
        <v>857</v>
      </c>
      <c r="Y72" s="80">
        <f>X72*12</f>
        <v>10284</v>
      </c>
    </row>
    <row r="73" spans="1:25" ht="16.5" customHeight="1">
      <c r="A73" s="62">
        <v>5</v>
      </c>
      <c r="B73" s="63" t="s">
        <v>87</v>
      </c>
      <c r="C73" s="62">
        <f>3-1</f>
        <v>2</v>
      </c>
      <c r="D73" s="62">
        <v>5</v>
      </c>
      <c r="E73" s="42">
        <v>1514</v>
      </c>
      <c r="F73" s="43">
        <f>E73*C73</f>
        <v>3028</v>
      </c>
      <c r="G73" s="43"/>
      <c r="H73" s="43"/>
      <c r="I73" s="43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3">
        <f t="shared" si="16"/>
        <v>0</v>
      </c>
      <c r="X73" s="41">
        <f>F73+W73</f>
        <v>3028</v>
      </c>
      <c r="Y73" s="80">
        <f>X73*12</f>
        <v>36336</v>
      </c>
    </row>
    <row r="74" spans="1:25" ht="15" customHeight="1">
      <c r="A74" s="81"/>
      <c r="B74" s="82"/>
      <c r="C74" s="83">
        <f>SUM(C69:C73)</f>
        <v>9.5</v>
      </c>
      <c r="D74" s="83"/>
      <c r="E74" s="83"/>
      <c r="F74" s="84">
        <f>SUM(F69:F73)</f>
        <v>17250</v>
      </c>
      <c r="G74" s="84"/>
      <c r="H74" s="83"/>
      <c r="I74" s="83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3">
        <f t="shared" si="16"/>
        <v>0</v>
      </c>
      <c r="X74" s="47">
        <f>SUM(X69:X73)</f>
        <v>17250</v>
      </c>
      <c r="Y74" s="47">
        <f>SUM(Y69:Y73)</f>
        <v>207000</v>
      </c>
    </row>
    <row r="75" spans="1:25" ht="27" customHeight="1">
      <c r="A75" s="290" t="s">
        <v>88</v>
      </c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2"/>
    </row>
    <row r="76" spans="1:25" ht="21" customHeight="1">
      <c r="A76" s="62">
        <v>1</v>
      </c>
      <c r="B76" s="63" t="s">
        <v>84</v>
      </c>
      <c r="C76" s="65">
        <v>1</v>
      </c>
      <c r="D76" s="65">
        <v>12</v>
      </c>
      <c r="E76" s="85">
        <v>2360</v>
      </c>
      <c r="F76" s="86">
        <f>E76*C76</f>
        <v>2360</v>
      </c>
      <c r="G76" s="86"/>
      <c r="H76" s="43"/>
      <c r="I76" s="43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3">
        <f>SUM(H76:V76)</f>
        <v>0</v>
      </c>
      <c r="X76" s="41">
        <f>F76+W76</f>
        <v>2360</v>
      </c>
      <c r="Y76" s="80">
        <f>X76*12</f>
        <v>28320</v>
      </c>
    </row>
    <row r="77" spans="1:25" ht="15" customHeight="1">
      <c r="A77" s="62">
        <v>2</v>
      </c>
      <c r="B77" s="63" t="s">
        <v>89</v>
      </c>
      <c r="C77" s="65">
        <v>1</v>
      </c>
      <c r="D77" s="65"/>
      <c r="E77" s="85">
        <v>2124</v>
      </c>
      <c r="F77" s="86">
        <f>E77*C77</f>
        <v>2124</v>
      </c>
      <c r="G77" s="86"/>
      <c r="H77" s="43"/>
      <c r="I77" s="43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3">
        <f>SUM(H77:V77)</f>
        <v>0</v>
      </c>
      <c r="X77" s="41">
        <f>F77+W77</f>
        <v>2124</v>
      </c>
      <c r="Y77" s="80">
        <f>X77*12</f>
        <v>25488</v>
      </c>
    </row>
    <row r="78" spans="1:25" ht="19.5" customHeight="1">
      <c r="A78" s="62">
        <v>3</v>
      </c>
      <c r="B78" s="63" t="s">
        <v>90</v>
      </c>
      <c r="C78" s="65">
        <v>4</v>
      </c>
      <c r="D78" s="65">
        <v>6</v>
      </c>
      <c r="E78" s="85">
        <v>1614</v>
      </c>
      <c r="F78" s="86">
        <f>E78*C78</f>
        <v>6456</v>
      </c>
      <c r="G78" s="86"/>
      <c r="H78" s="43"/>
      <c r="I78" s="43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3">
        <f>SUM(H78:V78)</f>
        <v>0</v>
      </c>
      <c r="X78" s="41">
        <f>F78+W78</f>
        <v>6456</v>
      </c>
      <c r="Y78" s="80">
        <f>X78*12</f>
        <v>77472</v>
      </c>
    </row>
    <row r="79" spans="1:25" ht="21" customHeight="1">
      <c r="A79" s="81"/>
      <c r="B79" s="63"/>
      <c r="C79" s="48">
        <f>SUM(C76:C78)</f>
        <v>6</v>
      </c>
      <c r="D79" s="48"/>
      <c r="E79" s="48"/>
      <c r="F79" s="47">
        <f>SUM(F76:F78)</f>
        <v>10940</v>
      </c>
      <c r="G79" s="47"/>
      <c r="H79" s="83">
        <f aca="true" t="shared" si="17" ref="H79:V79">SUM(H76:H78)</f>
        <v>0</v>
      </c>
      <c r="I79" s="83">
        <f t="shared" si="17"/>
        <v>0</v>
      </c>
      <c r="J79" s="83">
        <f t="shared" si="17"/>
        <v>0</v>
      </c>
      <c r="K79" s="83">
        <f t="shared" si="17"/>
        <v>0</v>
      </c>
      <c r="L79" s="83">
        <f t="shared" si="17"/>
        <v>0</v>
      </c>
      <c r="M79" s="83">
        <f t="shared" si="17"/>
        <v>0</v>
      </c>
      <c r="N79" s="83">
        <f t="shared" si="17"/>
        <v>0</v>
      </c>
      <c r="O79" s="83">
        <f t="shared" si="17"/>
        <v>0</v>
      </c>
      <c r="P79" s="83">
        <f t="shared" si="17"/>
        <v>0</v>
      </c>
      <c r="Q79" s="83">
        <f t="shared" si="17"/>
        <v>0</v>
      </c>
      <c r="R79" s="83">
        <f t="shared" si="17"/>
        <v>0</v>
      </c>
      <c r="S79" s="83">
        <f t="shared" si="17"/>
        <v>0</v>
      </c>
      <c r="T79" s="83">
        <f t="shared" si="17"/>
        <v>0</v>
      </c>
      <c r="U79" s="83">
        <f t="shared" si="17"/>
        <v>0</v>
      </c>
      <c r="V79" s="83">
        <f t="shared" si="17"/>
        <v>0</v>
      </c>
      <c r="W79" s="43">
        <f>SUM(H79:V79)</f>
        <v>0</v>
      </c>
      <c r="X79" s="84">
        <f>SUM(X76:X78)</f>
        <v>10940</v>
      </c>
      <c r="Y79" s="84">
        <f>SUM(Y76:Y78)</f>
        <v>131280</v>
      </c>
    </row>
    <row r="80" spans="1:25" ht="25.5" customHeight="1">
      <c r="A80" s="290" t="s">
        <v>91</v>
      </c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2"/>
      <c r="Y80" s="62"/>
    </row>
    <row r="81" spans="1:25" ht="21" customHeight="1">
      <c r="A81" s="62">
        <v>1</v>
      </c>
      <c r="B81" s="63" t="s">
        <v>84</v>
      </c>
      <c r="C81" s="65">
        <v>1</v>
      </c>
      <c r="D81" s="65">
        <v>12</v>
      </c>
      <c r="E81" s="85">
        <v>2360</v>
      </c>
      <c r="F81" s="86">
        <f>E81*C81</f>
        <v>2360</v>
      </c>
      <c r="G81" s="86"/>
      <c r="H81" s="43"/>
      <c r="I81" s="42">
        <f>ROUNDUP(F81*20%,0)</f>
        <v>472</v>
      </c>
      <c r="J81" s="42"/>
      <c r="K81" s="42"/>
      <c r="L81" s="42"/>
      <c r="M81" s="42"/>
      <c r="N81" s="42">
        <f>ROUNDUP(F81*30%,0)</f>
        <v>708</v>
      </c>
      <c r="O81" s="42"/>
      <c r="P81" s="42"/>
      <c r="Q81" s="42"/>
      <c r="R81" s="42"/>
      <c r="S81" s="42"/>
      <c r="T81" s="42"/>
      <c r="U81" s="42"/>
      <c r="V81" s="42"/>
      <c r="W81" s="43">
        <f aca="true" t="shared" si="18" ref="W81:W86">SUM(H81:V81)</f>
        <v>1180</v>
      </c>
      <c r="X81" s="41">
        <f>F81+W81</f>
        <v>3540</v>
      </c>
      <c r="Y81" s="80">
        <f>X81*12</f>
        <v>42480</v>
      </c>
    </row>
    <row r="82" spans="1:25" ht="21" customHeight="1">
      <c r="A82" s="62">
        <v>2</v>
      </c>
      <c r="B82" s="63" t="s">
        <v>92</v>
      </c>
      <c r="C82" s="65">
        <f>0.5+0.25</f>
        <v>0.75</v>
      </c>
      <c r="D82" s="65">
        <v>5</v>
      </c>
      <c r="E82" s="85">
        <v>1514</v>
      </c>
      <c r="F82" s="86">
        <f>E82*C82</f>
        <v>1135.5</v>
      </c>
      <c r="G82" s="86"/>
      <c r="H82" s="43"/>
      <c r="I82" s="43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3">
        <f t="shared" si="18"/>
        <v>0</v>
      </c>
      <c r="X82" s="41">
        <f>F82+W82</f>
        <v>1135.5</v>
      </c>
      <c r="Y82" s="80">
        <f>X82*12</f>
        <v>13626</v>
      </c>
    </row>
    <row r="83" spans="1:25" ht="21" customHeight="1">
      <c r="A83" s="62">
        <v>3</v>
      </c>
      <c r="B83" s="63" t="s">
        <v>93</v>
      </c>
      <c r="C83" s="65">
        <v>1</v>
      </c>
      <c r="D83" s="65">
        <v>10</v>
      </c>
      <c r="E83" s="85">
        <v>2026</v>
      </c>
      <c r="F83" s="86">
        <f>E83*C83</f>
        <v>2026</v>
      </c>
      <c r="G83" s="86"/>
      <c r="H83" s="43"/>
      <c r="I83" s="42">
        <f>ROUNDUP(F83*20%,0)</f>
        <v>406</v>
      </c>
      <c r="J83" s="42"/>
      <c r="K83" s="42"/>
      <c r="L83" s="42"/>
      <c r="M83" s="42"/>
      <c r="N83" s="42">
        <f>ROUNDUP(F83*30%,0)</f>
        <v>608</v>
      </c>
      <c r="O83" s="42"/>
      <c r="P83" s="42"/>
      <c r="Q83" s="42"/>
      <c r="R83" s="42"/>
      <c r="S83" s="42"/>
      <c r="T83" s="42"/>
      <c r="U83" s="42"/>
      <c r="V83" s="42"/>
      <c r="W83" s="43">
        <f t="shared" si="18"/>
        <v>1014</v>
      </c>
      <c r="X83" s="41">
        <f>F83+W83</f>
        <v>3040</v>
      </c>
      <c r="Y83" s="80">
        <f>X83*12</f>
        <v>36480</v>
      </c>
    </row>
    <row r="84" spans="1:25" ht="21" customHeight="1">
      <c r="A84" s="62">
        <v>4</v>
      </c>
      <c r="B84" s="63" t="s">
        <v>94</v>
      </c>
      <c r="C84" s="65">
        <v>1</v>
      </c>
      <c r="D84" s="65">
        <v>8</v>
      </c>
      <c r="E84" s="87">
        <v>1825</v>
      </c>
      <c r="F84" s="86">
        <f>E84*C84</f>
        <v>1825</v>
      </c>
      <c r="G84" s="86"/>
      <c r="H84" s="43"/>
      <c r="I84" s="42">
        <f>ROUNDUP(F84*20%,0)</f>
        <v>365</v>
      </c>
      <c r="J84" s="42"/>
      <c r="K84" s="42"/>
      <c r="L84" s="42"/>
      <c r="M84" s="42"/>
      <c r="N84" s="42">
        <f>ROUNDUP(F84*30%,0)</f>
        <v>548</v>
      </c>
      <c r="O84" s="42"/>
      <c r="P84" s="42"/>
      <c r="Q84" s="42"/>
      <c r="R84" s="42"/>
      <c r="S84" s="42"/>
      <c r="T84" s="42"/>
      <c r="U84" s="42"/>
      <c r="V84" s="42"/>
      <c r="W84" s="43">
        <f t="shared" si="18"/>
        <v>913</v>
      </c>
      <c r="X84" s="41">
        <f>F84+W84</f>
        <v>2738</v>
      </c>
      <c r="Y84" s="80">
        <f>X84*12</f>
        <v>32856</v>
      </c>
    </row>
    <row r="85" spans="1:25" ht="21" customHeight="1">
      <c r="A85" s="62">
        <v>5</v>
      </c>
      <c r="B85" s="63" t="s">
        <v>85</v>
      </c>
      <c r="C85" s="65">
        <v>1</v>
      </c>
      <c r="D85" s="65">
        <v>7</v>
      </c>
      <c r="E85" s="85">
        <v>1714</v>
      </c>
      <c r="F85" s="86">
        <f>E85*C85</f>
        <v>1714</v>
      </c>
      <c r="G85" s="86"/>
      <c r="H85" s="43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3">
        <f t="shared" si="18"/>
        <v>0</v>
      </c>
      <c r="X85" s="41">
        <f>F85+W85</f>
        <v>1714</v>
      </c>
      <c r="Y85" s="80">
        <f>X85*12</f>
        <v>20568</v>
      </c>
    </row>
    <row r="86" spans="1:25" ht="21" customHeight="1">
      <c r="A86" s="81"/>
      <c r="B86" s="63"/>
      <c r="C86" s="83">
        <f>SUM(C81:C85)</f>
        <v>4.75</v>
      </c>
      <c r="D86" s="83"/>
      <c r="E86" s="83"/>
      <c r="F86" s="84">
        <f>SUM(F81:F85)</f>
        <v>9060.5</v>
      </c>
      <c r="G86" s="84"/>
      <c r="H86" s="83">
        <f aca="true" t="shared" si="19" ref="H86:V86">SUM(H81:H85)</f>
        <v>0</v>
      </c>
      <c r="I86" s="83">
        <f t="shared" si="19"/>
        <v>1243</v>
      </c>
      <c r="J86" s="83">
        <f t="shared" si="19"/>
        <v>0</v>
      </c>
      <c r="K86" s="83">
        <f t="shared" si="19"/>
        <v>0</v>
      </c>
      <c r="L86" s="83">
        <f t="shared" si="19"/>
        <v>0</v>
      </c>
      <c r="M86" s="83">
        <f t="shared" si="19"/>
        <v>0</v>
      </c>
      <c r="N86" s="83">
        <f t="shared" si="19"/>
        <v>1864</v>
      </c>
      <c r="O86" s="83">
        <f t="shared" si="19"/>
        <v>0</v>
      </c>
      <c r="P86" s="83">
        <f t="shared" si="19"/>
        <v>0</v>
      </c>
      <c r="Q86" s="83">
        <f t="shared" si="19"/>
        <v>0</v>
      </c>
      <c r="R86" s="83">
        <f t="shared" si="19"/>
        <v>0</v>
      </c>
      <c r="S86" s="83">
        <f t="shared" si="19"/>
        <v>0</v>
      </c>
      <c r="T86" s="83">
        <f t="shared" si="19"/>
        <v>0</v>
      </c>
      <c r="U86" s="83">
        <f t="shared" si="19"/>
        <v>0</v>
      </c>
      <c r="V86" s="83">
        <f t="shared" si="19"/>
        <v>0</v>
      </c>
      <c r="W86" s="43">
        <f t="shared" si="18"/>
        <v>3107</v>
      </c>
      <c r="X86" s="84">
        <f>SUM(X81:X85)</f>
        <v>12167.5</v>
      </c>
      <c r="Y86" s="84">
        <f>SUM(Y81:Y85)</f>
        <v>146010</v>
      </c>
    </row>
    <row r="87" spans="1:25" ht="21" customHeight="1">
      <c r="A87" s="290" t="s">
        <v>95</v>
      </c>
      <c r="B87" s="291"/>
      <c r="C87" s="291"/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2"/>
      <c r="Y87" s="62"/>
    </row>
    <row r="88" spans="1:25" ht="21" customHeight="1">
      <c r="A88" s="62">
        <v>1</v>
      </c>
      <c r="B88" s="63" t="s">
        <v>84</v>
      </c>
      <c r="C88" s="65">
        <v>1</v>
      </c>
      <c r="D88" s="65">
        <v>12</v>
      </c>
      <c r="E88" s="85">
        <v>2360</v>
      </c>
      <c r="F88" s="41">
        <f>E88*C88</f>
        <v>2360</v>
      </c>
      <c r="G88" s="41"/>
      <c r="H88" s="43"/>
      <c r="I88" s="42">
        <f>ROUNDUP(F88*20%,0)</f>
        <v>472</v>
      </c>
      <c r="J88" s="42"/>
      <c r="K88" s="42"/>
      <c r="L88" s="42"/>
      <c r="M88" s="42"/>
      <c r="N88" s="42">
        <f>ROUNDUP(F88*30%,0)</f>
        <v>708</v>
      </c>
      <c r="O88" s="42"/>
      <c r="P88" s="42"/>
      <c r="Q88" s="42"/>
      <c r="R88" s="42"/>
      <c r="S88" s="42"/>
      <c r="T88" s="42"/>
      <c r="U88" s="42"/>
      <c r="V88" s="42"/>
      <c r="W88" s="43">
        <f>SUM(H88:V88)</f>
        <v>1180</v>
      </c>
      <c r="X88" s="41">
        <f>F88+W88</f>
        <v>3540</v>
      </c>
      <c r="Y88" s="80">
        <f>X88*12</f>
        <v>42480</v>
      </c>
    </row>
    <row r="89" spans="1:25" ht="21" customHeight="1">
      <c r="A89" s="62">
        <v>2</v>
      </c>
      <c r="B89" s="63" t="s">
        <v>93</v>
      </c>
      <c r="C89" s="65">
        <f>2+1-1</f>
        <v>2</v>
      </c>
      <c r="D89" s="65">
        <v>10</v>
      </c>
      <c r="E89" s="85">
        <v>2026</v>
      </c>
      <c r="F89" s="41">
        <f>E89*C89</f>
        <v>4052</v>
      </c>
      <c r="G89" s="41"/>
      <c r="H89" s="43"/>
      <c r="I89" s="42">
        <f>ROUNDUP(F89*20%,0)</f>
        <v>811</v>
      </c>
      <c r="J89" s="42"/>
      <c r="K89" s="42"/>
      <c r="L89" s="42"/>
      <c r="M89" s="42"/>
      <c r="N89" s="42">
        <f>ROUNDUP(F89*30%,0)</f>
        <v>1216</v>
      </c>
      <c r="O89" s="42"/>
      <c r="P89" s="42"/>
      <c r="Q89" s="42"/>
      <c r="R89" s="42"/>
      <c r="S89" s="42"/>
      <c r="T89" s="42"/>
      <c r="U89" s="42"/>
      <c r="V89" s="42"/>
      <c r="W89" s="43">
        <f>SUM(H89:V89)</f>
        <v>2027</v>
      </c>
      <c r="X89" s="41">
        <f>F89+W89</f>
        <v>6079</v>
      </c>
      <c r="Y89" s="80">
        <f>X89*12</f>
        <v>72948</v>
      </c>
    </row>
    <row r="90" spans="1:25" ht="21" customHeight="1">
      <c r="A90" s="62">
        <v>3</v>
      </c>
      <c r="B90" s="63" t="s">
        <v>96</v>
      </c>
      <c r="C90" s="65">
        <v>1</v>
      </c>
      <c r="D90" s="62">
        <v>9</v>
      </c>
      <c r="E90" s="37">
        <v>1925</v>
      </c>
      <c r="F90" s="76">
        <f>E90*C90</f>
        <v>1925</v>
      </c>
      <c r="G90" s="41"/>
      <c r="H90" s="43"/>
      <c r="I90" s="42">
        <f>ROUNDUP(F90*20%,0)</f>
        <v>385</v>
      </c>
      <c r="J90" s="42"/>
      <c r="K90" s="42"/>
      <c r="L90" s="42"/>
      <c r="M90" s="42"/>
      <c r="N90" s="42">
        <f>ROUNDUP(F90*30%,0)</f>
        <v>578</v>
      </c>
      <c r="O90" s="42"/>
      <c r="P90" s="42"/>
      <c r="Q90" s="42"/>
      <c r="R90" s="42"/>
      <c r="S90" s="42"/>
      <c r="T90" s="42"/>
      <c r="U90" s="42"/>
      <c r="V90" s="42"/>
      <c r="W90" s="43">
        <f>SUM(H90:V90)</f>
        <v>963</v>
      </c>
      <c r="X90" s="41">
        <f>F90+W90</f>
        <v>2888</v>
      </c>
      <c r="Y90" s="80">
        <f>X90*12</f>
        <v>34656</v>
      </c>
    </row>
    <row r="91" spans="1:25" ht="21" customHeight="1">
      <c r="A91" s="62">
        <v>4</v>
      </c>
      <c r="B91" s="63" t="s">
        <v>94</v>
      </c>
      <c r="C91" s="65">
        <f>2-1</f>
        <v>1</v>
      </c>
      <c r="D91" s="65">
        <v>8</v>
      </c>
      <c r="E91" s="85">
        <v>1825</v>
      </c>
      <c r="F91" s="41">
        <f>E91*C91</f>
        <v>1825</v>
      </c>
      <c r="G91" s="41"/>
      <c r="H91" s="43"/>
      <c r="I91" s="42">
        <f>ROUNDUP(F91*20%,0)</f>
        <v>365</v>
      </c>
      <c r="J91" s="42"/>
      <c r="K91" s="42"/>
      <c r="L91" s="42"/>
      <c r="M91" s="42"/>
      <c r="N91" s="42">
        <f>ROUNDUP(F91*30%,0)</f>
        <v>548</v>
      </c>
      <c r="O91" s="42"/>
      <c r="P91" s="42"/>
      <c r="Q91" s="42"/>
      <c r="R91" s="42"/>
      <c r="S91" s="42"/>
      <c r="T91" s="42"/>
      <c r="U91" s="42"/>
      <c r="V91" s="42"/>
      <c r="W91" s="43">
        <f>SUM(H91:V91)</f>
        <v>913</v>
      </c>
      <c r="X91" s="41">
        <f>F91+W91</f>
        <v>2738</v>
      </c>
      <c r="Y91" s="80">
        <f>X91*12</f>
        <v>32856</v>
      </c>
    </row>
    <row r="92" spans="1:25" ht="17.25" customHeight="1">
      <c r="A92" s="81"/>
      <c r="B92" s="63"/>
      <c r="C92" s="83">
        <f>SUM(C88:C91)</f>
        <v>5</v>
      </c>
      <c r="D92" s="83"/>
      <c r="E92" s="83"/>
      <c r="F92" s="84">
        <f>SUM(F88:F91)</f>
        <v>10162</v>
      </c>
      <c r="G92" s="84"/>
      <c r="H92" s="83">
        <f aca="true" t="shared" si="20" ref="H92:V92">SUM(H88:H91)</f>
        <v>0</v>
      </c>
      <c r="I92" s="83">
        <f t="shared" si="20"/>
        <v>2033</v>
      </c>
      <c r="J92" s="83">
        <f t="shared" si="20"/>
        <v>0</v>
      </c>
      <c r="K92" s="83">
        <f t="shared" si="20"/>
        <v>0</v>
      </c>
      <c r="L92" s="83">
        <f t="shared" si="20"/>
        <v>0</v>
      </c>
      <c r="M92" s="83">
        <f t="shared" si="20"/>
        <v>0</v>
      </c>
      <c r="N92" s="83">
        <f t="shared" si="20"/>
        <v>3050</v>
      </c>
      <c r="O92" s="83">
        <f t="shared" si="20"/>
        <v>0</v>
      </c>
      <c r="P92" s="83">
        <f t="shared" si="20"/>
        <v>0</v>
      </c>
      <c r="Q92" s="83">
        <f t="shared" si="20"/>
        <v>0</v>
      </c>
      <c r="R92" s="83">
        <f t="shared" si="20"/>
        <v>0</v>
      </c>
      <c r="S92" s="83">
        <f t="shared" si="20"/>
        <v>0</v>
      </c>
      <c r="T92" s="83">
        <f t="shared" si="20"/>
        <v>0</v>
      </c>
      <c r="U92" s="83">
        <f t="shared" si="20"/>
        <v>0</v>
      </c>
      <c r="V92" s="83">
        <f t="shared" si="20"/>
        <v>0</v>
      </c>
      <c r="W92" s="43">
        <f>SUM(H92:V92)</f>
        <v>5083</v>
      </c>
      <c r="X92" s="84">
        <f>SUM(X88:X91)</f>
        <v>15245</v>
      </c>
      <c r="Y92" s="84">
        <f>SUM(Y88:Y91)</f>
        <v>182940</v>
      </c>
    </row>
    <row r="93" spans="1:25" ht="22.5" customHeight="1">
      <c r="A93" s="290" t="s">
        <v>97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2"/>
    </row>
    <row r="94" spans="1:25" ht="16.5" customHeight="1">
      <c r="A94" s="62">
        <v>1</v>
      </c>
      <c r="B94" s="63" t="s">
        <v>98</v>
      </c>
      <c r="C94" s="62">
        <v>1</v>
      </c>
      <c r="D94" s="62">
        <v>11</v>
      </c>
      <c r="E94" s="37">
        <v>2193</v>
      </c>
      <c r="F94" s="76">
        <f>E94*C94</f>
        <v>2193</v>
      </c>
      <c r="G94" s="76"/>
      <c r="H94" s="43"/>
      <c r="I94" s="42">
        <f>ROUNDUP(F94*20%,0)</f>
        <v>439</v>
      </c>
      <c r="J94" s="42"/>
      <c r="K94" s="42"/>
      <c r="L94" s="42"/>
      <c r="M94" s="42"/>
      <c r="N94" s="42">
        <f>ROUNDUP(F94*30%,0)</f>
        <v>658</v>
      </c>
      <c r="O94" s="42"/>
      <c r="P94" s="42"/>
      <c r="Q94" s="42"/>
      <c r="R94" s="42"/>
      <c r="S94" s="42"/>
      <c r="T94" s="42"/>
      <c r="U94" s="42"/>
      <c r="V94" s="42"/>
      <c r="W94" s="42">
        <f>SUM(H94:V94)</f>
        <v>1097</v>
      </c>
      <c r="X94" s="41">
        <f>C94*E94+W94</f>
        <v>3290</v>
      </c>
      <c r="Y94" s="80">
        <f>X94*12</f>
        <v>39480</v>
      </c>
    </row>
    <row r="95" spans="1:25" ht="21" customHeight="1">
      <c r="A95" s="62">
        <v>2</v>
      </c>
      <c r="B95" s="63" t="s">
        <v>65</v>
      </c>
      <c r="C95" s="62">
        <v>3</v>
      </c>
      <c r="D95" s="62">
        <v>9</v>
      </c>
      <c r="E95" s="37">
        <v>1925</v>
      </c>
      <c r="F95" s="76">
        <f>E95*C95</f>
        <v>5775</v>
      </c>
      <c r="G95" s="76"/>
      <c r="H95" s="43"/>
      <c r="I95" s="43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>
        <f>SUM(H95:V95)</f>
        <v>0</v>
      </c>
      <c r="X95" s="41">
        <f>C95*E95+W95</f>
        <v>5775</v>
      </c>
      <c r="Y95" s="80">
        <f>X95*12</f>
        <v>69300</v>
      </c>
    </row>
    <row r="96" spans="1:25" ht="21" customHeight="1">
      <c r="A96" s="62">
        <v>3</v>
      </c>
      <c r="B96" s="63" t="s">
        <v>66</v>
      </c>
      <c r="C96" s="62">
        <v>1</v>
      </c>
      <c r="D96" s="62">
        <v>8</v>
      </c>
      <c r="E96" s="37">
        <v>1825</v>
      </c>
      <c r="F96" s="76">
        <f>E96*C96</f>
        <v>1825</v>
      </c>
      <c r="G96" s="76"/>
      <c r="H96" s="43"/>
      <c r="I96" s="43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>
        <f>SUM(H96:V96)</f>
        <v>0</v>
      </c>
      <c r="X96" s="41">
        <f>C96*E96+W96</f>
        <v>1825</v>
      </c>
      <c r="Y96" s="80">
        <f>X96*12</f>
        <v>21900</v>
      </c>
    </row>
    <row r="97" spans="1:25" ht="21" customHeight="1">
      <c r="A97" s="62">
        <v>4</v>
      </c>
      <c r="B97" s="63" t="s">
        <v>68</v>
      </c>
      <c r="C97" s="62">
        <v>1</v>
      </c>
      <c r="D97" s="62">
        <v>7</v>
      </c>
      <c r="E97" s="37">
        <v>1714</v>
      </c>
      <c r="F97" s="76">
        <f>E97*C97</f>
        <v>1714</v>
      </c>
      <c r="G97" s="76"/>
      <c r="H97" s="43"/>
      <c r="I97" s="43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>
        <f>SUM(H97:V97)</f>
        <v>0</v>
      </c>
      <c r="X97" s="41">
        <f>C97*E97+W97</f>
        <v>1714</v>
      </c>
      <c r="Y97" s="80">
        <f>X97*12</f>
        <v>20568</v>
      </c>
    </row>
    <row r="98" spans="1:25" ht="14.25" customHeight="1">
      <c r="A98" s="62"/>
      <c r="B98" s="63"/>
      <c r="C98" s="83">
        <f>SUM(C94:C97)</f>
        <v>6</v>
      </c>
      <c r="D98" s="83"/>
      <c r="E98" s="83"/>
      <c r="F98" s="84">
        <f>SUM(F94:F97)</f>
        <v>11507</v>
      </c>
      <c r="G98" s="84"/>
      <c r="H98" s="83">
        <f aca="true" t="shared" si="21" ref="H98:V98">SUM(H94:H97)</f>
        <v>0</v>
      </c>
      <c r="I98" s="83">
        <f t="shared" si="21"/>
        <v>439</v>
      </c>
      <c r="J98" s="83">
        <f t="shared" si="21"/>
        <v>0</v>
      </c>
      <c r="K98" s="83">
        <f t="shared" si="21"/>
        <v>0</v>
      </c>
      <c r="L98" s="83">
        <f t="shared" si="21"/>
        <v>0</v>
      </c>
      <c r="M98" s="83">
        <f t="shared" si="21"/>
        <v>0</v>
      </c>
      <c r="N98" s="83">
        <f t="shared" si="21"/>
        <v>658</v>
      </c>
      <c r="O98" s="83">
        <f t="shared" si="21"/>
        <v>0</v>
      </c>
      <c r="P98" s="83">
        <f t="shared" si="21"/>
        <v>0</v>
      </c>
      <c r="Q98" s="83">
        <f t="shared" si="21"/>
        <v>0</v>
      </c>
      <c r="R98" s="83">
        <f t="shared" si="21"/>
        <v>0</v>
      </c>
      <c r="S98" s="83">
        <f t="shared" si="21"/>
        <v>0</v>
      </c>
      <c r="T98" s="83">
        <f t="shared" si="21"/>
        <v>0</v>
      </c>
      <c r="U98" s="83">
        <f t="shared" si="21"/>
        <v>0</v>
      </c>
      <c r="V98" s="83">
        <f t="shared" si="21"/>
        <v>0</v>
      </c>
      <c r="W98" s="42">
        <f>SUM(H98:V98)</f>
        <v>1097</v>
      </c>
      <c r="X98" s="47">
        <f>SUM(X94:X97)</f>
        <v>12604</v>
      </c>
      <c r="Y98" s="47">
        <f>SUM(Y94:Y97)</f>
        <v>151248</v>
      </c>
    </row>
    <row r="99" spans="1:25" ht="21" customHeight="1">
      <c r="A99" s="290" t="s">
        <v>99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2"/>
      <c r="Y99" s="62"/>
    </row>
    <row r="100" spans="1:25" ht="21" customHeight="1">
      <c r="A100" s="62">
        <v>1</v>
      </c>
      <c r="B100" s="88" t="s">
        <v>84</v>
      </c>
      <c r="C100" s="65">
        <v>1</v>
      </c>
      <c r="D100" s="65">
        <v>12</v>
      </c>
      <c r="E100" s="40">
        <v>2360</v>
      </c>
      <c r="F100" s="41">
        <f aca="true" t="shared" si="22" ref="F100:F108">E100*C100</f>
        <v>2360</v>
      </c>
      <c r="G100" s="41"/>
      <c r="H100" s="86"/>
      <c r="I100" s="42">
        <f>ROUNDUP(F100*20%,0)</f>
        <v>472</v>
      </c>
      <c r="J100" s="42"/>
      <c r="K100" s="42"/>
      <c r="L100" s="42"/>
      <c r="M100" s="42"/>
      <c r="N100" s="42">
        <f>ROUNDUP(F100*30%,0)</f>
        <v>708</v>
      </c>
      <c r="O100" s="42"/>
      <c r="P100" s="42"/>
      <c r="Q100" s="42"/>
      <c r="R100" s="42"/>
      <c r="S100" s="42">
        <f>ROUNDUP(F100*15%,0)</f>
        <v>354</v>
      </c>
      <c r="T100" s="42"/>
      <c r="U100" s="42"/>
      <c r="V100" s="42"/>
      <c r="W100" s="43">
        <f aca="true" t="shared" si="23" ref="W100:W108">SUM(H100:V100)</f>
        <v>1534</v>
      </c>
      <c r="X100" s="41">
        <f aca="true" t="shared" si="24" ref="X100:X108">F100+W100</f>
        <v>3894</v>
      </c>
      <c r="Y100" s="80">
        <f aca="true" t="shared" si="25" ref="Y100:Y108">X100*12</f>
        <v>46728</v>
      </c>
    </row>
    <row r="101" spans="1:25" ht="17.25" customHeight="1">
      <c r="A101" s="62">
        <v>2</v>
      </c>
      <c r="B101" s="88" t="s">
        <v>100</v>
      </c>
      <c r="C101" s="65">
        <v>3</v>
      </c>
      <c r="D101" s="65"/>
      <c r="E101" s="40">
        <v>2242</v>
      </c>
      <c r="F101" s="41">
        <f t="shared" si="22"/>
        <v>6726</v>
      </c>
      <c r="G101" s="41"/>
      <c r="H101" s="86"/>
      <c r="I101" s="42">
        <f>ROUNDUP(F101*20%,0)</f>
        <v>1346</v>
      </c>
      <c r="J101" s="42"/>
      <c r="K101" s="42"/>
      <c r="L101" s="42"/>
      <c r="M101" s="42"/>
      <c r="N101" s="42">
        <f>ROUNDUP(F101*30%,0)</f>
        <v>2018</v>
      </c>
      <c r="O101" s="42"/>
      <c r="P101" s="42"/>
      <c r="Q101" s="42">
        <f>ROUNDUP(E101*25%,0)</f>
        <v>561</v>
      </c>
      <c r="R101" s="42"/>
      <c r="S101" s="42">
        <f>ROUNDUP(E101*15%,0)</f>
        <v>337</v>
      </c>
      <c r="T101" s="42"/>
      <c r="U101" s="42"/>
      <c r="V101" s="42"/>
      <c r="W101" s="43">
        <f t="shared" si="23"/>
        <v>4262</v>
      </c>
      <c r="X101" s="41">
        <f t="shared" si="24"/>
        <v>10988</v>
      </c>
      <c r="Y101" s="80">
        <f t="shared" si="25"/>
        <v>131856</v>
      </c>
    </row>
    <row r="102" spans="1:25" ht="17.25" customHeight="1">
      <c r="A102" s="62">
        <v>3</v>
      </c>
      <c r="B102" s="88" t="s">
        <v>92</v>
      </c>
      <c r="C102" s="65">
        <v>4</v>
      </c>
      <c r="D102" s="65">
        <v>5</v>
      </c>
      <c r="E102" s="40">
        <v>1514</v>
      </c>
      <c r="F102" s="41">
        <f t="shared" si="22"/>
        <v>6056</v>
      </c>
      <c r="G102" s="41"/>
      <c r="H102" s="86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3">
        <f t="shared" si="23"/>
        <v>0</v>
      </c>
      <c r="X102" s="41">
        <f t="shared" si="24"/>
        <v>6056</v>
      </c>
      <c r="Y102" s="80">
        <f t="shared" si="25"/>
        <v>72672</v>
      </c>
    </row>
    <row r="103" spans="1:25" ht="16.5" customHeight="1">
      <c r="A103" s="62">
        <v>4</v>
      </c>
      <c r="B103" s="88" t="s">
        <v>93</v>
      </c>
      <c r="C103" s="65">
        <f>19-1</f>
        <v>18</v>
      </c>
      <c r="D103" s="65">
        <v>10</v>
      </c>
      <c r="E103" s="40">
        <v>2026</v>
      </c>
      <c r="F103" s="41">
        <f t="shared" si="22"/>
        <v>36468</v>
      </c>
      <c r="G103" s="41"/>
      <c r="H103" s="86"/>
      <c r="I103" s="42">
        <f>ROUNDUP(F103*20%,0)</f>
        <v>7294</v>
      </c>
      <c r="J103" s="42"/>
      <c r="K103" s="42"/>
      <c r="L103" s="42"/>
      <c r="M103" s="42"/>
      <c r="N103" s="42">
        <f>ROUNDUP(F103*30%,0)</f>
        <v>10941</v>
      </c>
      <c r="O103" s="42"/>
      <c r="P103" s="42"/>
      <c r="Q103" s="42"/>
      <c r="R103" s="42"/>
      <c r="S103" s="42"/>
      <c r="T103" s="42"/>
      <c r="U103" s="42"/>
      <c r="V103" s="42"/>
      <c r="W103" s="89">
        <f t="shared" si="23"/>
        <v>18235</v>
      </c>
      <c r="X103" s="41">
        <f t="shared" si="24"/>
        <v>54703</v>
      </c>
      <c r="Y103" s="80">
        <f t="shared" si="25"/>
        <v>656436</v>
      </c>
    </row>
    <row r="104" spans="1:25" ht="17.25" customHeight="1">
      <c r="A104" s="62">
        <v>5</v>
      </c>
      <c r="B104" s="88" t="s">
        <v>96</v>
      </c>
      <c r="C104" s="65">
        <v>6</v>
      </c>
      <c r="D104" s="65">
        <v>9</v>
      </c>
      <c r="E104" s="40">
        <v>1925</v>
      </c>
      <c r="F104" s="41">
        <f t="shared" si="22"/>
        <v>11550</v>
      </c>
      <c r="G104" s="41"/>
      <c r="H104" s="86"/>
      <c r="I104" s="42">
        <f>ROUNDUP(F104*20%,0)</f>
        <v>2310</v>
      </c>
      <c r="J104" s="42"/>
      <c r="K104" s="42"/>
      <c r="L104" s="42"/>
      <c r="M104" s="42"/>
      <c r="N104" s="42">
        <f>ROUNDUP(F104*30%,0)</f>
        <v>3465</v>
      </c>
      <c r="O104" s="42"/>
      <c r="P104" s="42"/>
      <c r="Q104" s="42"/>
      <c r="R104" s="42"/>
      <c r="S104" s="42"/>
      <c r="T104" s="42"/>
      <c r="U104" s="42"/>
      <c r="V104" s="42"/>
      <c r="W104" s="43">
        <f t="shared" si="23"/>
        <v>5775</v>
      </c>
      <c r="X104" s="41">
        <f t="shared" si="24"/>
        <v>17325</v>
      </c>
      <c r="Y104" s="80">
        <f t="shared" si="25"/>
        <v>207900</v>
      </c>
    </row>
    <row r="105" spans="1:25" ht="17.25" customHeight="1">
      <c r="A105" s="62">
        <v>6</v>
      </c>
      <c r="B105" s="88" t="s">
        <v>94</v>
      </c>
      <c r="C105" s="65">
        <v>3</v>
      </c>
      <c r="D105" s="62">
        <v>8</v>
      </c>
      <c r="E105" s="37">
        <v>1825</v>
      </c>
      <c r="F105" s="76">
        <f t="shared" si="22"/>
        <v>5475</v>
      </c>
      <c r="G105" s="41"/>
      <c r="H105" s="86"/>
      <c r="I105" s="42">
        <f>ROUNDUP(F105*20%,0)</f>
        <v>1095</v>
      </c>
      <c r="J105" s="42"/>
      <c r="K105" s="42"/>
      <c r="L105" s="42"/>
      <c r="M105" s="42"/>
      <c r="N105" s="42">
        <f>ROUNDUP(F105*30%,0)</f>
        <v>1643</v>
      </c>
      <c r="O105" s="42"/>
      <c r="P105" s="42"/>
      <c r="Q105" s="42"/>
      <c r="R105" s="42"/>
      <c r="S105" s="42"/>
      <c r="T105" s="42"/>
      <c r="U105" s="42"/>
      <c r="V105" s="42"/>
      <c r="W105" s="43">
        <f t="shared" si="23"/>
        <v>2738</v>
      </c>
      <c r="X105" s="41">
        <f t="shared" si="24"/>
        <v>8213</v>
      </c>
      <c r="Y105" s="80">
        <f t="shared" si="25"/>
        <v>98556</v>
      </c>
    </row>
    <row r="106" spans="1:25" ht="17.25" customHeight="1">
      <c r="A106" s="62">
        <v>7</v>
      </c>
      <c r="B106" s="88" t="s">
        <v>101</v>
      </c>
      <c r="C106" s="65">
        <f>3-2</f>
        <v>1</v>
      </c>
      <c r="D106" s="65">
        <v>7</v>
      </c>
      <c r="E106" s="40">
        <v>1714</v>
      </c>
      <c r="F106" s="41">
        <f t="shared" si="22"/>
        <v>1714</v>
      </c>
      <c r="G106" s="41"/>
      <c r="H106" s="86"/>
      <c r="I106" s="42">
        <f>ROUNDUP(F106*20%,0)</f>
        <v>343</v>
      </c>
      <c r="J106" s="42"/>
      <c r="K106" s="42"/>
      <c r="L106" s="42"/>
      <c r="M106" s="42"/>
      <c r="N106" s="42">
        <f>ROUNDUP(F106*30%,0)</f>
        <v>515</v>
      </c>
      <c r="O106" s="42"/>
      <c r="P106" s="42"/>
      <c r="Q106" s="42"/>
      <c r="R106" s="42"/>
      <c r="S106" s="42"/>
      <c r="T106" s="42"/>
      <c r="U106" s="42"/>
      <c r="V106" s="42"/>
      <c r="W106" s="43">
        <f t="shared" si="23"/>
        <v>858</v>
      </c>
      <c r="X106" s="41">
        <f t="shared" si="24"/>
        <v>2572</v>
      </c>
      <c r="Y106" s="80">
        <f t="shared" si="25"/>
        <v>30864</v>
      </c>
    </row>
    <row r="107" spans="1:25" ht="17.25" customHeight="1">
      <c r="A107" s="62">
        <v>8</v>
      </c>
      <c r="B107" s="63" t="s">
        <v>65</v>
      </c>
      <c r="C107" s="65">
        <f>1+3</f>
        <v>4</v>
      </c>
      <c r="D107" s="65">
        <v>9</v>
      </c>
      <c r="E107" s="40">
        <v>1925</v>
      </c>
      <c r="F107" s="41">
        <f t="shared" si="22"/>
        <v>7700</v>
      </c>
      <c r="G107" s="41"/>
      <c r="H107" s="86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3">
        <f t="shared" si="23"/>
        <v>0</v>
      </c>
      <c r="X107" s="41">
        <f t="shared" si="24"/>
        <v>7700</v>
      </c>
      <c r="Y107" s="80">
        <f t="shared" si="25"/>
        <v>92400</v>
      </c>
    </row>
    <row r="108" spans="1:25" ht="18" customHeight="1">
      <c r="A108" s="62">
        <v>9</v>
      </c>
      <c r="B108" s="63" t="s">
        <v>102</v>
      </c>
      <c r="C108" s="65">
        <f>1+4.5</f>
        <v>5.5</v>
      </c>
      <c r="D108" s="65">
        <v>9</v>
      </c>
      <c r="E108" s="40">
        <v>1925</v>
      </c>
      <c r="F108" s="41">
        <f t="shared" si="22"/>
        <v>10587.5</v>
      </c>
      <c r="G108" s="41"/>
      <c r="H108" s="86"/>
      <c r="I108" s="86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3">
        <f t="shared" si="23"/>
        <v>0</v>
      </c>
      <c r="X108" s="41">
        <f t="shared" si="24"/>
        <v>10587.5</v>
      </c>
      <c r="Y108" s="80">
        <f t="shared" si="25"/>
        <v>127050</v>
      </c>
    </row>
    <row r="109" spans="1:25" ht="17.25" customHeight="1">
      <c r="A109" s="81"/>
      <c r="B109" s="63"/>
      <c r="C109" s="48">
        <f>SUM(C100:C108)</f>
        <v>45.5</v>
      </c>
      <c r="D109" s="48"/>
      <c r="E109" s="48"/>
      <c r="F109" s="47">
        <f>SUM(F100:F108)</f>
        <v>88636.5</v>
      </c>
      <c r="G109" s="47"/>
      <c r="H109" s="48">
        <f aca="true" t="shared" si="26" ref="H109:V109">SUM(H100:H106)</f>
        <v>0</v>
      </c>
      <c r="I109" s="48">
        <f t="shared" si="26"/>
        <v>12860</v>
      </c>
      <c r="J109" s="48">
        <f t="shared" si="26"/>
        <v>0</v>
      </c>
      <c r="K109" s="48">
        <f t="shared" si="26"/>
        <v>0</v>
      </c>
      <c r="L109" s="48">
        <f t="shared" si="26"/>
        <v>0</v>
      </c>
      <c r="M109" s="48">
        <f t="shared" si="26"/>
        <v>0</v>
      </c>
      <c r="N109" s="48">
        <f t="shared" si="26"/>
        <v>19290</v>
      </c>
      <c r="O109" s="48">
        <f t="shared" si="26"/>
        <v>0</v>
      </c>
      <c r="P109" s="48">
        <f t="shared" si="26"/>
        <v>0</v>
      </c>
      <c r="Q109" s="48">
        <f t="shared" si="26"/>
        <v>561</v>
      </c>
      <c r="R109" s="48">
        <f t="shared" si="26"/>
        <v>0</v>
      </c>
      <c r="S109" s="48">
        <f t="shared" si="26"/>
        <v>691</v>
      </c>
      <c r="T109" s="48">
        <f t="shared" si="26"/>
        <v>0</v>
      </c>
      <c r="U109" s="48">
        <f t="shared" si="26"/>
        <v>0</v>
      </c>
      <c r="V109" s="48">
        <f t="shared" si="26"/>
        <v>0</v>
      </c>
      <c r="W109" s="89">
        <f>SUM(W100:W108)</f>
        <v>33402</v>
      </c>
      <c r="X109" s="90">
        <f>SUM(X100:X108)</f>
        <v>122038.5</v>
      </c>
      <c r="Y109" s="90">
        <f>SUM(Y100:Y108)</f>
        <v>1464462</v>
      </c>
    </row>
    <row r="110" spans="1:25" ht="21" customHeight="1">
      <c r="A110" s="290" t="s">
        <v>103</v>
      </c>
      <c r="B110" s="291"/>
      <c r="C110" s="291"/>
      <c r="D110" s="291"/>
      <c r="E110" s="291"/>
      <c r="F110" s="291"/>
      <c r="G110" s="291"/>
      <c r="H110" s="291"/>
      <c r="I110" s="291"/>
      <c r="J110" s="291"/>
      <c r="K110" s="291"/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2"/>
    </row>
    <row r="111" spans="1:25" ht="15" customHeight="1">
      <c r="A111" s="62">
        <v>1</v>
      </c>
      <c r="B111" s="63" t="s">
        <v>104</v>
      </c>
      <c r="C111" s="65">
        <f>30-0.5</f>
        <v>29.5</v>
      </c>
      <c r="D111" s="65">
        <v>5</v>
      </c>
      <c r="E111" s="40">
        <v>1514</v>
      </c>
      <c r="F111" s="41">
        <f aca="true" t="shared" si="27" ref="F111:F120">E111*C111</f>
        <v>44663</v>
      </c>
      <c r="G111" s="41"/>
      <c r="H111" s="43"/>
      <c r="I111" s="43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3">
        <f aca="true" t="shared" si="28" ref="W111:W120">SUM(H111:V111)</f>
        <v>0</v>
      </c>
      <c r="X111" s="41">
        <f aca="true" t="shared" si="29" ref="X111:X117">F111+W111</f>
        <v>44663</v>
      </c>
      <c r="Y111" s="80">
        <f aca="true" t="shared" si="30" ref="Y111:Y120">X111*12</f>
        <v>535956</v>
      </c>
    </row>
    <row r="112" spans="1:25" ht="16.5" customHeight="1">
      <c r="A112" s="62">
        <v>2</v>
      </c>
      <c r="B112" s="63" t="s">
        <v>76</v>
      </c>
      <c r="C112" s="65">
        <v>1</v>
      </c>
      <c r="D112" s="65">
        <v>10</v>
      </c>
      <c r="E112" s="40">
        <v>2026</v>
      </c>
      <c r="F112" s="41">
        <f t="shared" si="27"/>
        <v>2026</v>
      </c>
      <c r="G112" s="41"/>
      <c r="H112" s="43"/>
      <c r="I112" s="43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3">
        <f t="shared" si="28"/>
        <v>0</v>
      </c>
      <c r="X112" s="41">
        <f t="shared" si="29"/>
        <v>2026</v>
      </c>
      <c r="Y112" s="80">
        <f t="shared" si="30"/>
        <v>24312</v>
      </c>
    </row>
    <row r="113" spans="1:25" ht="16.5" customHeight="1">
      <c r="A113" s="62">
        <v>3</v>
      </c>
      <c r="B113" s="63" t="s">
        <v>65</v>
      </c>
      <c r="C113" s="65">
        <f>7.5+1</f>
        <v>8.5</v>
      </c>
      <c r="D113" s="65">
        <v>9</v>
      </c>
      <c r="E113" s="40">
        <v>1925</v>
      </c>
      <c r="F113" s="41">
        <f t="shared" si="27"/>
        <v>16362.5</v>
      </c>
      <c r="G113" s="41"/>
      <c r="H113" s="86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3">
        <f t="shared" si="28"/>
        <v>0</v>
      </c>
      <c r="X113" s="41">
        <f t="shared" si="29"/>
        <v>16362.5</v>
      </c>
      <c r="Y113" s="80">
        <f t="shared" si="30"/>
        <v>196350</v>
      </c>
    </row>
    <row r="114" spans="1:25" ht="18.75" customHeight="1">
      <c r="A114" s="62">
        <v>4</v>
      </c>
      <c r="B114" s="63" t="s">
        <v>102</v>
      </c>
      <c r="C114" s="65">
        <f>12-1+1+1</f>
        <v>13</v>
      </c>
      <c r="D114" s="65">
        <v>9</v>
      </c>
      <c r="E114" s="40">
        <v>1925</v>
      </c>
      <c r="F114" s="41">
        <f t="shared" si="27"/>
        <v>25025</v>
      </c>
      <c r="G114" s="41"/>
      <c r="H114" s="43"/>
      <c r="I114" s="43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3">
        <f t="shared" si="28"/>
        <v>0</v>
      </c>
      <c r="X114" s="41">
        <f t="shared" si="29"/>
        <v>25025</v>
      </c>
      <c r="Y114" s="80">
        <f t="shared" si="30"/>
        <v>300300</v>
      </c>
    </row>
    <row r="115" spans="1:25" ht="18" customHeight="1">
      <c r="A115" s="62">
        <v>5</v>
      </c>
      <c r="B115" s="63" t="s">
        <v>105</v>
      </c>
      <c r="C115" s="65">
        <f>4.5+0.5</f>
        <v>5</v>
      </c>
      <c r="D115" s="65">
        <v>7</v>
      </c>
      <c r="E115" s="40">
        <v>1714</v>
      </c>
      <c r="F115" s="41">
        <f t="shared" si="27"/>
        <v>8570</v>
      </c>
      <c r="G115" s="41"/>
      <c r="H115" s="43"/>
      <c r="I115" s="43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3">
        <f t="shared" si="28"/>
        <v>0</v>
      </c>
      <c r="X115" s="41">
        <f t="shared" si="29"/>
        <v>8570</v>
      </c>
      <c r="Y115" s="80">
        <f t="shared" si="30"/>
        <v>102840</v>
      </c>
    </row>
    <row r="116" spans="1:25" ht="18" customHeight="1">
      <c r="A116" s="62">
        <v>6</v>
      </c>
      <c r="B116" s="63" t="s">
        <v>67</v>
      </c>
      <c r="C116" s="65">
        <v>1</v>
      </c>
      <c r="D116" s="65">
        <v>7</v>
      </c>
      <c r="E116" s="40">
        <v>1714</v>
      </c>
      <c r="F116" s="41">
        <f t="shared" si="27"/>
        <v>1714</v>
      </c>
      <c r="G116" s="41"/>
      <c r="H116" s="43"/>
      <c r="I116" s="43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3">
        <f t="shared" si="28"/>
        <v>0</v>
      </c>
      <c r="X116" s="41">
        <f t="shared" si="29"/>
        <v>1714</v>
      </c>
      <c r="Y116" s="80">
        <f t="shared" si="30"/>
        <v>20568</v>
      </c>
    </row>
    <row r="117" spans="1:25" ht="17.25" customHeight="1">
      <c r="A117" s="62">
        <v>7</v>
      </c>
      <c r="B117" s="63" t="s">
        <v>106</v>
      </c>
      <c r="C117" s="65">
        <f>14-1-1</f>
        <v>12</v>
      </c>
      <c r="D117" s="65">
        <v>5</v>
      </c>
      <c r="E117" s="40">
        <v>1514</v>
      </c>
      <c r="F117" s="41">
        <f t="shared" si="27"/>
        <v>18168</v>
      </c>
      <c r="G117" s="41"/>
      <c r="H117" s="43"/>
      <c r="I117" s="43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3">
        <f t="shared" si="28"/>
        <v>0</v>
      </c>
      <c r="X117" s="41">
        <f t="shared" si="29"/>
        <v>18168</v>
      </c>
      <c r="Y117" s="80">
        <f t="shared" si="30"/>
        <v>218016</v>
      </c>
    </row>
    <row r="118" spans="1:25" ht="17.25" customHeight="1">
      <c r="A118" s="62">
        <v>8</v>
      </c>
      <c r="B118" s="63" t="s">
        <v>107</v>
      </c>
      <c r="C118" s="62">
        <v>3</v>
      </c>
      <c r="D118" s="62">
        <v>7</v>
      </c>
      <c r="E118" s="37">
        <v>1714</v>
      </c>
      <c r="F118" s="76">
        <f t="shared" si="27"/>
        <v>5142</v>
      </c>
      <c r="G118" s="76"/>
      <c r="H118" s="76"/>
      <c r="I118" s="42">
        <f>ROUNDUP(F118*20%,0)</f>
        <v>1029</v>
      </c>
      <c r="J118" s="42"/>
      <c r="K118" s="42"/>
      <c r="L118" s="42"/>
      <c r="M118" s="42"/>
      <c r="N118" s="42">
        <f>ROUNDUP(F118*30%,0)</f>
        <v>1543</v>
      </c>
      <c r="O118" s="42"/>
      <c r="P118" s="42"/>
      <c r="Q118" s="42"/>
      <c r="R118" s="42"/>
      <c r="S118" s="42"/>
      <c r="T118" s="42"/>
      <c r="U118" s="42"/>
      <c r="V118" s="42"/>
      <c r="W118" s="42">
        <f t="shared" si="28"/>
        <v>2572</v>
      </c>
      <c r="X118" s="41">
        <f>C118*E118+W118</f>
        <v>7714</v>
      </c>
      <c r="Y118" s="80">
        <f t="shared" si="30"/>
        <v>92568</v>
      </c>
    </row>
    <row r="119" spans="1:25" ht="15.75" customHeight="1">
      <c r="A119" s="62">
        <v>9</v>
      </c>
      <c r="B119" s="63" t="s">
        <v>92</v>
      </c>
      <c r="C119" s="65">
        <v>3</v>
      </c>
      <c r="D119" s="65">
        <v>5</v>
      </c>
      <c r="E119" s="40">
        <v>1514</v>
      </c>
      <c r="F119" s="41">
        <f t="shared" si="27"/>
        <v>4542</v>
      </c>
      <c r="G119" s="41"/>
      <c r="H119" s="43"/>
      <c r="I119" s="43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3">
        <f t="shared" si="28"/>
        <v>0</v>
      </c>
      <c r="X119" s="41">
        <f>F119+W119</f>
        <v>4542</v>
      </c>
      <c r="Y119" s="80">
        <f t="shared" si="30"/>
        <v>54504</v>
      </c>
    </row>
    <row r="120" spans="1:25" ht="15.75" customHeight="1">
      <c r="A120" s="62">
        <v>10</v>
      </c>
      <c r="B120" s="63" t="s">
        <v>68</v>
      </c>
      <c r="C120" s="62">
        <v>0.5</v>
      </c>
      <c r="D120" s="62">
        <v>7</v>
      </c>
      <c r="E120" s="37">
        <v>1714</v>
      </c>
      <c r="F120" s="76">
        <f t="shared" si="27"/>
        <v>857</v>
      </c>
      <c r="G120" s="76"/>
      <c r="H120" s="43"/>
      <c r="I120" s="43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3">
        <f t="shared" si="28"/>
        <v>0</v>
      </c>
      <c r="X120" s="41">
        <f>F120+W120</f>
        <v>857</v>
      </c>
      <c r="Y120" s="80">
        <f t="shared" si="30"/>
        <v>10284</v>
      </c>
    </row>
    <row r="121" spans="1:29" ht="21" customHeight="1">
      <c r="A121" s="81"/>
      <c r="B121" s="63"/>
      <c r="C121" s="48">
        <f>SUM(C111:C120)</f>
        <v>76.5</v>
      </c>
      <c r="D121" s="48"/>
      <c r="E121" s="48"/>
      <c r="F121" s="84">
        <f>SUM(F111:F120)</f>
        <v>127069.5</v>
      </c>
      <c r="G121" s="84"/>
      <c r="H121" s="91">
        <f aca="true" t="shared" si="31" ref="H121:AC121">SUM(H111:H120)</f>
        <v>0</v>
      </c>
      <c r="I121" s="91">
        <f t="shared" si="31"/>
        <v>1029</v>
      </c>
      <c r="J121" s="91">
        <f t="shared" si="31"/>
        <v>0</v>
      </c>
      <c r="K121" s="91">
        <f t="shared" si="31"/>
        <v>0</v>
      </c>
      <c r="L121" s="91">
        <f t="shared" si="31"/>
        <v>0</v>
      </c>
      <c r="M121" s="91">
        <f t="shared" si="31"/>
        <v>0</v>
      </c>
      <c r="N121" s="91">
        <f t="shared" si="31"/>
        <v>1543</v>
      </c>
      <c r="O121" s="91">
        <f t="shared" si="31"/>
        <v>0</v>
      </c>
      <c r="P121" s="91">
        <f t="shared" si="31"/>
        <v>0</v>
      </c>
      <c r="Q121" s="91">
        <f t="shared" si="31"/>
        <v>0</v>
      </c>
      <c r="R121" s="91">
        <f t="shared" si="31"/>
        <v>0</v>
      </c>
      <c r="S121" s="91">
        <f t="shared" si="31"/>
        <v>0</v>
      </c>
      <c r="T121" s="91">
        <f t="shared" si="31"/>
        <v>0</v>
      </c>
      <c r="U121" s="91">
        <f t="shared" si="31"/>
        <v>0</v>
      </c>
      <c r="V121" s="91">
        <f t="shared" si="31"/>
        <v>0</v>
      </c>
      <c r="W121" s="91">
        <f t="shared" si="31"/>
        <v>2572</v>
      </c>
      <c r="X121" s="84">
        <f t="shared" si="31"/>
        <v>129641.5</v>
      </c>
      <c r="Y121" s="84">
        <f t="shared" si="31"/>
        <v>1555698</v>
      </c>
      <c r="Z121" s="84">
        <f t="shared" si="31"/>
        <v>0</v>
      </c>
      <c r="AA121" s="84">
        <f t="shared" si="31"/>
        <v>0</v>
      </c>
      <c r="AB121" s="84">
        <f t="shared" si="31"/>
        <v>0</v>
      </c>
      <c r="AC121" s="84">
        <f t="shared" si="31"/>
        <v>0</v>
      </c>
    </row>
    <row r="122" spans="1:25" ht="18" customHeight="1">
      <c r="A122" s="290" t="s">
        <v>108</v>
      </c>
      <c r="B122" s="291"/>
      <c r="C122" s="291"/>
      <c r="D122" s="291"/>
      <c r="E122" s="291"/>
      <c r="F122" s="291"/>
      <c r="G122" s="291"/>
      <c r="H122" s="291"/>
      <c r="I122" s="291"/>
      <c r="J122" s="291"/>
      <c r="K122" s="291"/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2"/>
      <c r="Y122" s="62"/>
    </row>
    <row r="123" spans="1:25" ht="21" customHeight="1">
      <c r="A123" s="62">
        <v>1</v>
      </c>
      <c r="B123" s="63" t="s">
        <v>84</v>
      </c>
      <c r="C123" s="65">
        <v>1</v>
      </c>
      <c r="D123" s="65">
        <v>12</v>
      </c>
      <c r="E123" s="40">
        <v>2360</v>
      </c>
      <c r="F123" s="41">
        <f>E123*C123</f>
        <v>2360</v>
      </c>
      <c r="G123" s="41"/>
      <c r="H123" s="43"/>
      <c r="I123" s="43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43">
        <f>SUM(H123:V123)</f>
        <v>0</v>
      </c>
      <c r="X123" s="41">
        <f>F123+W123</f>
        <v>2360</v>
      </c>
      <c r="Y123" s="80">
        <f>X123*12</f>
        <v>28320</v>
      </c>
    </row>
    <row r="124" spans="1:25" ht="21" customHeight="1">
      <c r="A124" s="62">
        <v>2</v>
      </c>
      <c r="B124" s="38" t="s">
        <v>100</v>
      </c>
      <c r="C124" s="62">
        <v>1</v>
      </c>
      <c r="D124" s="62"/>
      <c r="E124" s="62">
        <v>2242</v>
      </c>
      <c r="F124" s="80">
        <f>E124*C124</f>
        <v>2242</v>
      </c>
      <c r="G124" s="80"/>
      <c r="H124" s="43"/>
      <c r="I124" s="43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43">
        <f>SUM(H124:V124)</f>
        <v>0</v>
      </c>
      <c r="X124" s="41">
        <f>F124+W124</f>
        <v>2242</v>
      </c>
      <c r="Y124" s="80">
        <f>X124*12</f>
        <v>26904</v>
      </c>
    </row>
    <row r="125" spans="1:25" ht="21" customHeight="1">
      <c r="A125" s="62">
        <v>3</v>
      </c>
      <c r="B125" s="63" t="s">
        <v>74</v>
      </c>
      <c r="C125" s="65">
        <v>3</v>
      </c>
      <c r="D125" s="65">
        <v>9</v>
      </c>
      <c r="E125" s="40">
        <v>1925</v>
      </c>
      <c r="F125" s="41">
        <f>E125*C125</f>
        <v>5775</v>
      </c>
      <c r="G125" s="41"/>
      <c r="H125" s="43"/>
      <c r="I125" s="43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43">
        <f>SUM(H125:V125)</f>
        <v>0</v>
      </c>
      <c r="X125" s="41">
        <f>F125+W125</f>
        <v>5775</v>
      </c>
      <c r="Y125" s="80">
        <f>X125*12</f>
        <v>69300</v>
      </c>
    </row>
    <row r="126" spans="1:25" ht="21" customHeight="1">
      <c r="A126" s="62">
        <v>4</v>
      </c>
      <c r="B126" s="63" t="s">
        <v>90</v>
      </c>
      <c r="C126" s="65">
        <f>12+2.25+1.25-0.5</f>
        <v>15</v>
      </c>
      <c r="D126" s="65">
        <v>6</v>
      </c>
      <c r="E126" s="40">
        <v>1614</v>
      </c>
      <c r="F126" s="41">
        <f>E126*C126</f>
        <v>24210</v>
      </c>
      <c r="G126" s="41"/>
      <c r="H126" s="43"/>
      <c r="I126" s="43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43">
        <f>SUM(H126:V126)</f>
        <v>0</v>
      </c>
      <c r="X126" s="41">
        <f>F126+W126</f>
        <v>24210</v>
      </c>
      <c r="Y126" s="80">
        <f>X126*12</f>
        <v>290520</v>
      </c>
    </row>
    <row r="127" spans="1:25" ht="24.75" customHeight="1">
      <c r="A127" s="37">
        <v>5</v>
      </c>
      <c r="B127" s="92" t="s">
        <v>92</v>
      </c>
      <c r="C127" s="37">
        <v>0.5</v>
      </c>
      <c r="D127" s="37">
        <v>5</v>
      </c>
      <c r="E127" s="62">
        <v>1514</v>
      </c>
      <c r="F127" s="80">
        <f>E127*C127</f>
        <v>757</v>
      </c>
      <c r="G127" s="80"/>
      <c r="H127" s="62"/>
      <c r="I127" s="62"/>
      <c r="J127" s="37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37">
        <f>SUM(H127:V127)</f>
        <v>0</v>
      </c>
      <c r="X127" s="76">
        <f>C127*E127+W127</f>
        <v>757</v>
      </c>
      <c r="Y127" s="80">
        <f>X127*12</f>
        <v>9084</v>
      </c>
    </row>
    <row r="128" spans="1:25" ht="15.75" customHeight="1">
      <c r="A128" s="62"/>
      <c r="B128" s="63"/>
      <c r="C128" s="83">
        <f>SUM(C123:C127)</f>
        <v>20.5</v>
      </c>
      <c r="D128" s="83"/>
      <c r="E128" s="83"/>
      <c r="F128" s="84">
        <f>SUM(F123:F127)</f>
        <v>35344</v>
      </c>
      <c r="G128" s="84"/>
      <c r="H128" s="84">
        <f aca="true" t="shared" si="32" ref="H128:Y128">SUM(H123:H127)</f>
        <v>0</v>
      </c>
      <c r="I128" s="84">
        <f t="shared" si="32"/>
        <v>0</v>
      </c>
      <c r="J128" s="84">
        <f t="shared" si="32"/>
        <v>0</v>
      </c>
      <c r="K128" s="84">
        <f t="shared" si="32"/>
        <v>0</v>
      </c>
      <c r="L128" s="84">
        <f t="shared" si="32"/>
        <v>0</v>
      </c>
      <c r="M128" s="84">
        <f t="shared" si="32"/>
        <v>0</v>
      </c>
      <c r="N128" s="84">
        <f t="shared" si="32"/>
        <v>0</v>
      </c>
      <c r="O128" s="84">
        <f t="shared" si="32"/>
        <v>0</v>
      </c>
      <c r="P128" s="84">
        <f t="shared" si="32"/>
        <v>0</v>
      </c>
      <c r="Q128" s="84">
        <f t="shared" si="32"/>
        <v>0</v>
      </c>
      <c r="R128" s="84">
        <f t="shared" si="32"/>
        <v>0</v>
      </c>
      <c r="S128" s="84">
        <f t="shared" si="32"/>
        <v>0</v>
      </c>
      <c r="T128" s="84">
        <f t="shared" si="32"/>
        <v>0</v>
      </c>
      <c r="U128" s="84">
        <f t="shared" si="32"/>
        <v>0</v>
      </c>
      <c r="V128" s="84">
        <f t="shared" si="32"/>
        <v>0</v>
      </c>
      <c r="W128" s="84">
        <f t="shared" si="32"/>
        <v>0</v>
      </c>
      <c r="X128" s="84">
        <f t="shared" si="32"/>
        <v>35344</v>
      </c>
      <c r="Y128" s="84">
        <f t="shared" si="32"/>
        <v>424128</v>
      </c>
    </row>
    <row r="129" spans="1:25" ht="17.25" customHeight="1">
      <c r="A129" s="290" t="s">
        <v>109</v>
      </c>
      <c r="B129" s="291"/>
      <c r="C129" s="291"/>
      <c r="D129" s="291"/>
      <c r="E129" s="291"/>
      <c r="F129" s="291"/>
      <c r="G129" s="291"/>
      <c r="H129" s="291"/>
      <c r="I129" s="291"/>
      <c r="J129" s="291"/>
      <c r="K129" s="291"/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2"/>
      <c r="Y129" s="62"/>
    </row>
    <row r="130" spans="1:25" ht="26.25" customHeight="1">
      <c r="A130" s="62">
        <v>1</v>
      </c>
      <c r="B130" s="93" t="s">
        <v>84</v>
      </c>
      <c r="C130" s="65">
        <v>1</v>
      </c>
      <c r="D130" s="94">
        <v>10</v>
      </c>
      <c r="E130" s="40">
        <v>2026</v>
      </c>
      <c r="F130" s="41">
        <f aca="true" t="shared" si="33" ref="F130:F136">E130*C130</f>
        <v>2026</v>
      </c>
      <c r="G130" s="41"/>
      <c r="H130" s="43"/>
      <c r="I130" s="43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43">
        <f aca="true" t="shared" si="34" ref="W130:W137">SUM(H130:V130)</f>
        <v>0</v>
      </c>
      <c r="X130" s="41">
        <f aca="true" t="shared" si="35" ref="X130:X136">F130+W130</f>
        <v>2026</v>
      </c>
      <c r="Y130" s="80">
        <f aca="true" t="shared" si="36" ref="Y130:Y136">X130*12</f>
        <v>24312</v>
      </c>
    </row>
    <row r="131" spans="1:25" ht="21.75" customHeight="1">
      <c r="A131" s="62">
        <v>2</v>
      </c>
      <c r="B131" s="88" t="s">
        <v>100</v>
      </c>
      <c r="C131" s="65">
        <v>1</v>
      </c>
      <c r="D131" s="94"/>
      <c r="E131" s="40">
        <v>1925</v>
      </c>
      <c r="F131" s="41">
        <f t="shared" si="33"/>
        <v>1925</v>
      </c>
      <c r="G131" s="41"/>
      <c r="H131" s="43"/>
      <c r="I131" s="43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43">
        <f t="shared" si="34"/>
        <v>0</v>
      </c>
      <c r="X131" s="41">
        <f t="shared" si="35"/>
        <v>1925</v>
      </c>
      <c r="Y131" s="80">
        <f t="shared" si="36"/>
        <v>23100</v>
      </c>
    </row>
    <row r="132" spans="1:25" ht="16.5" customHeight="1">
      <c r="A132" s="62">
        <v>3</v>
      </c>
      <c r="B132" s="63" t="s">
        <v>90</v>
      </c>
      <c r="C132" s="65">
        <f>4+1</f>
        <v>5</v>
      </c>
      <c r="D132" s="65">
        <v>6</v>
      </c>
      <c r="E132" s="40">
        <v>1614</v>
      </c>
      <c r="F132" s="41">
        <f t="shared" si="33"/>
        <v>8070</v>
      </c>
      <c r="G132" s="41"/>
      <c r="H132" s="43"/>
      <c r="I132" s="43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43">
        <f t="shared" si="34"/>
        <v>0</v>
      </c>
      <c r="X132" s="41">
        <f t="shared" si="35"/>
        <v>8070</v>
      </c>
      <c r="Y132" s="80">
        <f t="shared" si="36"/>
        <v>96840</v>
      </c>
    </row>
    <row r="133" spans="1:25" ht="16.5" customHeight="1">
      <c r="A133" s="62">
        <v>4</v>
      </c>
      <c r="B133" s="63" t="s">
        <v>92</v>
      </c>
      <c r="C133" s="65">
        <v>3</v>
      </c>
      <c r="D133" s="65">
        <v>5</v>
      </c>
      <c r="E133" s="40">
        <v>1514</v>
      </c>
      <c r="F133" s="41">
        <f t="shared" si="33"/>
        <v>4542</v>
      </c>
      <c r="G133" s="41"/>
      <c r="H133" s="43"/>
      <c r="I133" s="43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43">
        <f t="shared" si="34"/>
        <v>0</v>
      </c>
      <c r="X133" s="41">
        <f t="shared" si="35"/>
        <v>4542</v>
      </c>
      <c r="Y133" s="80">
        <f t="shared" si="36"/>
        <v>54504</v>
      </c>
    </row>
    <row r="134" spans="1:25" ht="16.5" customHeight="1">
      <c r="A134" s="62">
        <v>5</v>
      </c>
      <c r="B134" s="63" t="s">
        <v>74</v>
      </c>
      <c r="C134" s="65">
        <v>1</v>
      </c>
      <c r="D134" s="65">
        <v>9</v>
      </c>
      <c r="E134" s="40">
        <v>1925</v>
      </c>
      <c r="F134" s="41">
        <f t="shared" si="33"/>
        <v>1925</v>
      </c>
      <c r="G134" s="41"/>
      <c r="H134" s="43"/>
      <c r="I134" s="43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43">
        <f t="shared" si="34"/>
        <v>0</v>
      </c>
      <c r="X134" s="41">
        <f t="shared" si="35"/>
        <v>1925</v>
      </c>
      <c r="Y134" s="80">
        <f t="shared" si="36"/>
        <v>23100</v>
      </c>
    </row>
    <row r="135" spans="1:25" ht="16.5" customHeight="1">
      <c r="A135" s="62">
        <v>6</v>
      </c>
      <c r="B135" s="63" t="s">
        <v>110</v>
      </c>
      <c r="C135" s="65">
        <v>1</v>
      </c>
      <c r="D135" s="65">
        <v>5</v>
      </c>
      <c r="E135" s="40">
        <v>1514</v>
      </c>
      <c r="F135" s="41">
        <f t="shared" si="33"/>
        <v>1514</v>
      </c>
      <c r="G135" s="41"/>
      <c r="H135" s="43"/>
      <c r="I135" s="43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43">
        <f t="shared" si="34"/>
        <v>0</v>
      </c>
      <c r="X135" s="41">
        <f t="shared" si="35"/>
        <v>1514</v>
      </c>
      <c r="Y135" s="80">
        <f t="shared" si="36"/>
        <v>18168</v>
      </c>
    </row>
    <row r="136" spans="1:25" ht="16.5" customHeight="1">
      <c r="A136" s="62">
        <v>7</v>
      </c>
      <c r="B136" s="63" t="s">
        <v>78</v>
      </c>
      <c r="C136" s="65">
        <v>1.5</v>
      </c>
      <c r="D136" s="65">
        <v>4</v>
      </c>
      <c r="E136" s="40">
        <v>1414</v>
      </c>
      <c r="F136" s="41">
        <f t="shared" si="33"/>
        <v>2121</v>
      </c>
      <c r="G136" s="41"/>
      <c r="H136" s="43"/>
      <c r="I136" s="43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43">
        <f t="shared" si="34"/>
        <v>0</v>
      </c>
      <c r="X136" s="41">
        <f t="shared" si="35"/>
        <v>2121</v>
      </c>
      <c r="Y136" s="80">
        <f t="shared" si="36"/>
        <v>25452</v>
      </c>
    </row>
    <row r="137" spans="1:25" ht="16.5" customHeight="1">
      <c r="A137" s="62"/>
      <c r="B137" s="63"/>
      <c r="C137" s="83">
        <f>SUM(C130:C136)</f>
        <v>13.5</v>
      </c>
      <c r="D137" s="62"/>
      <c r="E137" s="83"/>
      <c r="F137" s="70">
        <f>SUM(F130:F136)</f>
        <v>22123</v>
      </c>
      <c r="G137" s="70"/>
      <c r="H137" s="80">
        <f aca="true" t="shared" si="37" ref="H137:V137">SUM(H130:H136)</f>
        <v>0</v>
      </c>
      <c r="I137" s="80">
        <f t="shared" si="37"/>
        <v>0</v>
      </c>
      <c r="J137" s="80">
        <f t="shared" si="37"/>
        <v>0</v>
      </c>
      <c r="K137" s="80">
        <f t="shared" si="37"/>
        <v>0</v>
      </c>
      <c r="L137" s="80">
        <f t="shared" si="37"/>
        <v>0</v>
      </c>
      <c r="M137" s="80">
        <f t="shared" si="37"/>
        <v>0</v>
      </c>
      <c r="N137" s="80">
        <f t="shared" si="37"/>
        <v>0</v>
      </c>
      <c r="O137" s="80">
        <f t="shared" si="37"/>
        <v>0</v>
      </c>
      <c r="P137" s="80">
        <f t="shared" si="37"/>
        <v>0</v>
      </c>
      <c r="Q137" s="80">
        <f t="shared" si="37"/>
        <v>0</v>
      </c>
      <c r="R137" s="80">
        <f t="shared" si="37"/>
        <v>0</v>
      </c>
      <c r="S137" s="80">
        <f t="shared" si="37"/>
        <v>0</v>
      </c>
      <c r="T137" s="80">
        <f t="shared" si="37"/>
        <v>0</v>
      </c>
      <c r="U137" s="80">
        <f t="shared" si="37"/>
        <v>0</v>
      </c>
      <c r="V137" s="80">
        <f t="shared" si="37"/>
        <v>0</v>
      </c>
      <c r="W137" s="43">
        <f t="shared" si="34"/>
        <v>0</v>
      </c>
      <c r="X137" s="84">
        <f>SUM(X130:X136)</f>
        <v>22123</v>
      </c>
      <c r="Y137" s="84">
        <f>SUM(Y130:Y136)</f>
        <v>265476</v>
      </c>
    </row>
    <row r="138" spans="1:25" ht="16.5" customHeight="1">
      <c r="A138" s="290" t="s">
        <v>111</v>
      </c>
      <c r="B138" s="291"/>
      <c r="C138" s="291"/>
      <c r="D138" s="291"/>
      <c r="E138" s="291"/>
      <c r="F138" s="291"/>
      <c r="G138" s="291"/>
      <c r="H138" s="291"/>
      <c r="I138" s="291"/>
      <c r="J138" s="291"/>
      <c r="K138" s="291"/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2"/>
      <c r="Y138" s="62"/>
    </row>
    <row r="139" spans="1:25" ht="23.25" customHeight="1">
      <c r="A139" s="62">
        <v>1</v>
      </c>
      <c r="B139" s="63" t="s">
        <v>84</v>
      </c>
      <c r="C139" s="65">
        <v>1</v>
      </c>
      <c r="D139" s="65">
        <v>10</v>
      </c>
      <c r="E139" s="40">
        <v>2026</v>
      </c>
      <c r="F139" s="41">
        <f>E139*C139</f>
        <v>2026</v>
      </c>
      <c r="G139" s="41"/>
      <c r="H139" s="43"/>
      <c r="I139" s="43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3">
        <f>SUM(H139:V139)</f>
        <v>0</v>
      </c>
      <c r="X139" s="41">
        <f>C139*E139+W139</f>
        <v>2026</v>
      </c>
      <c r="Y139" s="80">
        <f>X139*12</f>
        <v>24312</v>
      </c>
    </row>
    <row r="140" spans="1:25" ht="24" customHeight="1">
      <c r="A140" s="62">
        <v>2</v>
      </c>
      <c r="B140" s="63" t="s">
        <v>112</v>
      </c>
      <c r="C140" s="65">
        <f>1+1</f>
        <v>2</v>
      </c>
      <c r="D140" s="65">
        <v>5</v>
      </c>
      <c r="E140" s="40">
        <v>1514</v>
      </c>
      <c r="F140" s="41">
        <f>E140*C140</f>
        <v>3028</v>
      </c>
      <c r="G140" s="41"/>
      <c r="H140" s="43"/>
      <c r="I140" s="43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3">
        <f>SUM(H140:V140)</f>
        <v>0</v>
      </c>
      <c r="X140" s="41">
        <f>C140*E140+W140</f>
        <v>3028</v>
      </c>
      <c r="Y140" s="80">
        <f>X140*12</f>
        <v>36336</v>
      </c>
    </row>
    <row r="141" spans="1:25" ht="24.75" customHeight="1">
      <c r="A141" s="62">
        <v>3</v>
      </c>
      <c r="B141" s="63" t="s">
        <v>78</v>
      </c>
      <c r="C141" s="65">
        <v>2</v>
      </c>
      <c r="D141" s="65">
        <v>4</v>
      </c>
      <c r="E141" s="40">
        <v>1414</v>
      </c>
      <c r="F141" s="41">
        <f>E141*C141</f>
        <v>2828</v>
      </c>
      <c r="G141" s="41"/>
      <c r="H141" s="43"/>
      <c r="I141" s="43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3">
        <f>SUM(H141:V141)</f>
        <v>0</v>
      </c>
      <c r="X141" s="41">
        <f>C141*E141+W141</f>
        <v>2828</v>
      </c>
      <c r="Y141" s="80">
        <f>X141*12</f>
        <v>33936</v>
      </c>
    </row>
    <row r="142" spans="1:25" ht="24" customHeight="1">
      <c r="A142" s="62"/>
      <c r="B142" s="63"/>
      <c r="C142" s="83">
        <f>SUM(C139:C141)</f>
        <v>5</v>
      </c>
      <c r="D142" s="83"/>
      <c r="E142" s="83"/>
      <c r="F142" s="84">
        <f>SUM(F139:F141)</f>
        <v>7882</v>
      </c>
      <c r="G142" s="84"/>
      <c r="H142" s="83">
        <f aca="true" t="shared" si="38" ref="H142:V142">SUM(H139:H141)</f>
        <v>0</v>
      </c>
      <c r="I142" s="83">
        <f t="shared" si="38"/>
        <v>0</v>
      </c>
      <c r="J142" s="83">
        <f t="shared" si="38"/>
        <v>0</v>
      </c>
      <c r="K142" s="83">
        <f t="shared" si="38"/>
        <v>0</v>
      </c>
      <c r="L142" s="83">
        <f t="shared" si="38"/>
        <v>0</v>
      </c>
      <c r="M142" s="83">
        <f t="shared" si="38"/>
        <v>0</v>
      </c>
      <c r="N142" s="83">
        <f t="shared" si="38"/>
        <v>0</v>
      </c>
      <c r="O142" s="83">
        <f t="shared" si="38"/>
        <v>0</v>
      </c>
      <c r="P142" s="83">
        <f t="shared" si="38"/>
        <v>0</v>
      </c>
      <c r="Q142" s="83">
        <f t="shared" si="38"/>
        <v>0</v>
      </c>
      <c r="R142" s="83">
        <f t="shared" si="38"/>
        <v>0</v>
      </c>
      <c r="S142" s="83">
        <f t="shared" si="38"/>
        <v>0</v>
      </c>
      <c r="T142" s="83">
        <f t="shared" si="38"/>
        <v>0</v>
      </c>
      <c r="U142" s="83">
        <f t="shared" si="38"/>
        <v>0</v>
      </c>
      <c r="V142" s="83">
        <f t="shared" si="38"/>
        <v>0</v>
      </c>
      <c r="W142" s="43">
        <f>SUM(H142:V142)</f>
        <v>0</v>
      </c>
      <c r="X142" s="47">
        <f>SUM(X139:X141)</f>
        <v>7882</v>
      </c>
      <c r="Y142" s="47">
        <f>SUM(Y139:Y141)</f>
        <v>94584</v>
      </c>
    </row>
    <row r="143" spans="1:25" ht="16.5" customHeight="1">
      <c r="A143" s="290" t="s">
        <v>113</v>
      </c>
      <c r="B143" s="291"/>
      <c r="C143" s="291"/>
      <c r="D143" s="291"/>
      <c r="E143" s="291"/>
      <c r="F143" s="291"/>
      <c r="G143" s="291"/>
      <c r="H143" s="291"/>
      <c r="I143" s="291"/>
      <c r="J143" s="291"/>
      <c r="K143" s="291"/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2"/>
      <c r="Y143" s="62"/>
    </row>
    <row r="144" spans="1:25" ht="18.75" customHeight="1">
      <c r="A144" s="62">
        <v>1</v>
      </c>
      <c r="B144" s="63" t="s">
        <v>84</v>
      </c>
      <c r="C144" s="65">
        <v>1</v>
      </c>
      <c r="D144" s="65">
        <v>13</v>
      </c>
      <c r="E144" s="40">
        <v>2527</v>
      </c>
      <c r="F144" s="41">
        <f>E144*C144</f>
        <v>2527</v>
      </c>
      <c r="G144" s="41"/>
      <c r="H144" s="43"/>
      <c r="I144" s="43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3">
        <f>SUM(H144:V144)</f>
        <v>0</v>
      </c>
      <c r="X144" s="41">
        <f>C144*E144+W144</f>
        <v>2527</v>
      </c>
      <c r="Y144" s="80">
        <f>X144*12</f>
        <v>30324</v>
      </c>
    </row>
    <row r="145" spans="1:25" ht="18.75" customHeight="1">
      <c r="A145" s="62">
        <v>2</v>
      </c>
      <c r="B145" s="63" t="s">
        <v>89</v>
      </c>
      <c r="C145" s="65">
        <v>1</v>
      </c>
      <c r="D145" s="65"/>
      <c r="E145" s="40">
        <v>2401</v>
      </c>
      <c r="F145" s="41">
        <f>E145*C145</f>
        <v>2401</v>
      </c>
      <c r="G145" s="41"/>
      <c r="H145" s="43"/>
      <c r="I145" s="43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3">
        <f>SUM(H145:V145)</f>
        <v>0</v>
      </c>
      <c r="X145" s="41">
        <f>C145*E145+W145</f>
        <v>2401</v>
      </c>
      <c r="Y145" s="80">
        <f>X145*12</f>
        <v>28812</v>
      </c>
    </row>
    <row r="146" spans="1:25" ht="18.75" customHeight="1">
      <c r="A146" s="62">
        <v>3</v>
      </c>
      <c r="B146" s="63" t="s">
        <v>114</v>
      </c>
      <c r="C146" s="65">
        <f>6+1</f>
        <v>7</v>
      </c>
      <c r="D146" s="65">
        <v>9</v>
      </c>
      <c r="E146" s="40">
        <v>1925</v>
      </c>
      <c r="F146" s="41">
        <f>E146*C146</f>
        <v>13475</v>
      </c>
      <c r="G146" s="41"/>
      <c r="H146" s="43"/>
      <c r="I146" s="43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3">
        <f>SUM(H146:V146)</f>
        <v>0</v>
      </c>
      <c r="X146" s="41">
        <f>C146*E146+W146</f>
        <v>13475</v>
      </c>
      <c r="Y146" s="80">
        <f>X146*12</f>
        <v>161700</v>
      </c>
    </row>
    <row r="147" spans="1:25" ht="18.75" customHeight="1">
      <c r="A147" s="62">
        <v>4</v>
      </c>
      <c r="B147" s="63" t="s">
        <v>74</v>
      </c>
      <c r="C147" s="65">
        <v>1</v>
      </c>
      <c r="D147" s="65">
        <v>9</v>
      </c>
      <c r="E147" s="40">
        <v>1925</v>
      </c>
      <c r="F147" s="41">
        <f>E147*C147</f>
        <v>1925</v>
      </c>
      <c r="G147" s="41"/>
      <c r="H147" s="43"/>
      <c r="I147" s="43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3">
        <f>SUM(H147:V147)</f>
        <v>0</v>
      </c>
      <c r="X147" s="41">
        <f>C147*E147+W147</f>
        <v>1925</v>
      </c>
      <c r="Y147" s="80">
        <f>X147*12</f>
        <v>23100</v>
      </c>
    </row>
    <row r="148" spans="1:25" ht="18.75" customHeight="1">
      <c r="A148" s="62"/>
      <c r="B148" s="63"/>
      <c r="C148" s="83">
        <f>SUM(C144:C147)</f>
        <v>10</v>
      </c>
      <c r="D148" s="83"/>
      <c r="E148" s="83"/>
      <c r="F148" s="84">
        <f>SUM(F144:F147)</f>
        <v>20328</v>
      </c>
      <c r="G148" s="84"/>
      <c r="H148" s="84">
        <f aca="true" t="shared" si="39" ref="H148:V148">SUM(H144:H147)</f>
        <v>0</v>
      </c>
      <c r="I148" s="84">
        <f t="shared" si="39"/>
        <v>0</v>
      </c>
      <c r="J148" s="84">
        <f t="shared" si="39"/>
        <v>0</v>
      </c>
      <c r="K148" s="84">
        <f t="shared" si="39"/>
        <v>0</v>
      </c>
      <c r="L148" s="84">
        <f t="shared" si="39"/>
        <v>0</v>
      </c>
      <c r="M148" s="84">
        <f t="shared" si="39"/>
        <v>0</v>
      </c>
      <c r="N148" s="84">
        <f t="shared" si="39"/>
        <v>0</v>
      </c>
      <c r="O148" s="84">
        <f t="shared" si="39"/>
        <v>0</v>
      </c>
      <c r="P148" s="84">
        <f t="shared" si="39"/>
        <v>0</v>
      </c>
      <c r="Q148" s="84">
        <f t="shared" si="39"/>
        <v>0</v>
      </c>
      <c r="R148" s="84">
        <f t="shared" si="39"/>
        <v>0</v>
      </c>
      <c r="S148" s="84">
        <f t="shared" si="39"/>
        <v>0</v>
      </c>
      <c r="T148" s="84">
        <f t="shared" si="39"/>
        <v>0</v>
      </c>
      <c r="U148" s="84">
        <f t="shared" si="39"/>
        <v>0</v>
      </c>
      <c r="V148" s="84">
        <f t="shared" si="39"/>
        <v>0</v>
      </c>
      <c r="W148" s="43">
        <f>SUM(H148:V148)</f>
        <v>0</v>
      </c>
      <c r="X148" s="47">
        <f>SUM(X144:X147)</f>
        <v>20328</v>
      </c>
      <c r="Y148" s="47">
        <f>SUM(Y144:Y147)</f>
        <v>243936</v>
      </c>
    </row>
    <row r="149" spans="1:25" ht="18.75" customHeight="1">
      <c r="A149" s="290" t="s">
        <v>115</v>
      </c>
      <c r="B149" s="291"/>
      <c r="C149" s="291"/>
      <c r="D149" s="291"/>
      <c r="E149" s="291"/>
      <c r="F149" s="291"/>
      <c r="G149" s="291"/>
      <c r="H149" s="291"/>
      <c r="I149" s="291"/>
      <c r="J149" s="291"/>
      <c r="K149" s="291"/>
      <c r="L149" s="291"/>
      <c r="M149" s="291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2"/>
      <c r="Y149" s="62"/>
    </row>
    <row r="150" spans="1:25" ht="18.75" customHeight="1">
      <c r="A150" s="62">
        <v>1</v>
      </c>
      <c r="B150" s="63" t="s">
        <v>116</v>
      </c>
      <c r="C150" s="65">
        <v>1</v>
      </c>
      <c r="D150" s="65"/>
      <c r="E150" s="40">
        <v>4368</v>
      </c>
      <c r="F150" s="41">
        <f aca="true" t="shared" si="40" ref="F150:F158">E150*C150</f>
        <v>4368</v>
      </c>
      <c r="G150" s="41"/>
      <c r="H150" s="43"/>
      <c r="I150" s="43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3">
        <f aca="true" t="shared" si="41" ref="W150:W159">SUM(H150:V150)</f>
        <v>0</v>
      </c>
      <c r="X150" s="41">
        <f aca="true" t="shared" si="42" ref="X150:X158">C150*E150+W150</f>
        <v>4368</v>
      </c>
      <c r="Y150" s="80">
        <f aca="true" t="shared" si="43" ref="Y150:Y158">X150*12</f>
        <v>52416</v>
      </c>
    </row>
    <row r="151" spans="1:25" ht="18.75" customHeight="1">
      <c r="A151" s="62">
        <v>2</v>
      </c>
      <c r="B151" s="63" t="s">
        <v>117</v>
      </c>
      <c r="C151" s="65">
        <v>3</v>
      </c>
      <c r="D151" s="65"/>
      <c r="E151" s="40">
        <v>3713</v>
      </c>
      <c r="F151" s="41">
        <f t="shared" si="40"/>
        <v>11139</v>
      </c>
      <c r="G151" s="41"/>
      <c r="H151" s="43"/>
      <c r="I151" s="43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3">
        <f t="shared" si="41"/>
        <v>0</v>
      </c>
      <c r="X151" s="41">
        <f t="shared" si="42"/>
        <v>11139</v>
      </c>
      <c r="Y151" s="80">
        <f t="shared" si="43"/>
        <v>133668</v>
      </c>
    </row>
    <row r="152" spans="1:25" ht="18.75" customHeight="1">
      <c r="A152" s="62">
        <v>3</v>
      </c>
      <c r="B152" s="63" t="s">
        <v>118</v>
      </c>
      <c r="C152" s="65">
        <v>4</v>
      </c>
      <c r="D152" s="65">
        <v>10</v>
      </c>
      <c r="E152" s="40">
        <v>2026</v>
      </c>
      <c r="F152" s="41">
        <f t="shared" si="40"/>
        <v>8104</v>
      </c>
      <c r="G152" s="41"/>
      <c r="H152" s="43"/>
      <c r="I152" s="43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3">
        <f t="shared" si="41"/>
        <v>0</v>
      </c>
      <c r="X152" s="41">
        <f t="shared" si="42"/>
        <v>8104</v>
      </c>
      <c r="Y152" s="80">
        <f t="shared" si="43"/>
        <v>97248</v>
      </c>
    </row>
    <row r="153" spans="1:25" ht="18.75" customHeight="1">
      <c r="A153" s="62">
        <v>4</v>
      </c>
      <c r="B153" s="63" t="s">
        <v>119</v>
      </c>
      <c r="C153" s="65">
        <f>33+2+1</f>
        <v>36</v>
      </c>
      <c r="D153" s="65">
        <v>9</v>
      </c>
      <c r="E153" s="40">
        <v>1925</v>
      </c>
      <c r="F153" s="41">
        <f t="shared" si="40"/>
        <v>69300</v>
      </c>
      <c r="G153" s="41"/>
      <c r="H153" s="43"/>
      <c r="I153" s="43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3">
        <f t="shared" si="41"/>
        <v>0</v>
      </c>
      <c r="X153" s="41">
        <f t="shared" si="42"/>
        <v>69300</v>
      </c>
      <c r="Y153" s="80">
        <f t="shared" si="43"/>
        <v>831600</v>
      </c>
    </row>
    <row r="154" spans="1:25" ht="18.75" customHeight="1">
      <c r="A154" s="62">
        <v>5</v>
      </c>
      <c r="B154" s="63" t="s">
        <v>120</v>
      </c>
      <c r="C154" s="65">
        <v>4</v>
      </c>
      <c r="D154" s="65">
        <v>8</v>
      </c>
      <c r="E154" s="40">
        <v>1825</v>
      </c>
      <c r="F154" s="41">
        <f t="shared" si="40"/>
        <v>7300</v>
      </c>
      <c r="G154" s="41"/>
      <c r="H154" s="43"/>
      <c r="I154" s="43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3">
        <f t="shared" si="41"/>
        <v>0</v>
      </c>
      <c r="X154" s="41">
        <f t="shared" si="42"/>
        <v>7300</v>
      </c>
      <c r="Y154" s="80">
        <f t="shared" si="43"/>
        <v>87600</v>
      </c>
    </row>
    <row r="155" spans="1:25" ht="18.75" customHeight="1">
      <c r="A155" s="62">
        <v>6</v>
      </c>
      <c r="B155" s="63" t="s">
        <v>121</v>
      </c>
      <c r="C155" s="65">
        <f>1+1.5</f>
        <v>2.5</v>
      </c>
      <c r="D155" s="65">
        <v>7</v>
      </c>
      <c r="E155" s="40">
        <v>1714</v>
      </c>
      <c r="F155" s="41">
        <f t="shared" si="40"/>
        <v>4285</v>
      </c>
      <c r="G155" s="41"/>
      <c r="H155" s="43"/>
      <c r="I155" s="43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3">
        <f t="shared" si="41"/>
        <v>0</v>
      </c>
      <c r="X155" s="41">
        <f t="shared" si="42"/>
        <v>4285</v>
      </c>
      <c r="Y155" s="80">
        <f t="shared" si="43"/>
        <v>51420</v>
      </c>
    </row>
    <row r="156" spans="1:25" ht="18.75" customHeight="1">
      <c r="A156" s="62">
        <v>7</v>
      </c>
      <c r="B156" s="63" t="s">
        <v>122</v>
      </c>
      <c r="C156" s="65">
        <f>3-2</f>
        <v>1</v>
      </c>
      <c r="D156" s="65">
        <v>6</v>
      </c>
      <c r="E156" s="40">
        <v>1614</v>
      </c>
      <c r="F156" s="41">
        <f t="shared" si="40"/>
        <v>1614</v>
      </c>
      <c r="G156" s="41"/>
      <c r="H156" s="43"/>
      <c r="I156" s="43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3">
        <f t="shared" si="41"/>
        <v>0</v>
      </c>
      <c r="X156" s="41">
        <f t="shared" si="42"/>
        <v>1614</v>
      </c>
      <c r="Y156" s="80">
        <f t="shared" si="43"/>
        <v>19368</v>
      </c>
    </row>
    <row r="157" spans="1:25" ht="18.75" customHeight="1">
      <c r="A157" s="62">
        <v>8</v>
      </c>
      <c r="B157" s="63" t="s">
        <v>123</v>
      </c>
      <c r="C157" s="65">
        <v>1</v>
      </c>
      <c r="D157" s="65">
        <v>10</v>
      </c>
      <c r="E157" s="40">
        <v>2026</v>
      </c>
      <c r="F157" s="41">
        <f t="shared" si="40"/>
        <v>2026</v>
      </c>
      <c r="G157" s="41"/>
      <c r="H157" s="43"/>
      <c r="I157" s="43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3">
        <f t="shared" si="41"/>
        <v>0</v>
      </c>
      <c r="X157" s="41">
        <f t="shared" si="42"/>
        <v>2026</v>
      </c>
      <c r="Y157" s="80">
        <f t="shared" si="43"/>
        <v>24312</v>
      </c>
    </row>
    <row r="158" spans="1:25" ht="18.75" customHeight="1">
      <c r="A158" s="62">
        <v>9</v>
      </c>
      <c r="B158" s="63" t="s">
        <v>74</v>
      </c>
      <c r="C158" s="65">
        <v>3</v>
      </c>
      <c r="D158" s="65">
        <v>9</v>
      </c>
      <c r="E158" s="40">
        <v>1925</v>
      </c>
      <c r="F158" s="41">
        <f t="shared" si="40"/>
        <v>5775</v>
      </c>
      <c r="G158" s="41"/>
      <c r="H158" s="43"/>
      <c r="I158" s="43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3">
        <f t="shared" si="41"/>
        <v>0</v>
      </c>
      <c r="X158" s="41">
        <f t="shared" si="42"/>
        <v>5775</v>
      </c>
      <c r="Y158" s="80">
        <f t="shared" si="43"/>
        <v>69300</v>
      </c>
    </row>
    <row r="159" spans="1:25" ht="18.75" customHeight="1">
      <c r="A159" s="62"/>
      <c r="B159" s="63"/>
      <c r="C159" s="83">
        <f>SUM(C150:C158)</f>
        <v>55.5</v>
      </c>
      <c r="D159" s="83"/>
      <c r="E159" s="83"/>
      <c r="F159" s="84">
        <f>SUM(F150:F158)</f>
        <v>113911</v>
      </c>
      <c r="G159" s="84"/>
      <c r="H159" s="83">
        <f aca="true" t="shared" si="44" ref="H159:V159">SUM(H150:H158)</f>
        <v>0</v>
      </c>
      <c r="I159" s="83">
        <f t="shared" si="44"/>
        <v>0</v>
      </c>
      <c r="J159" s="83">
        <f t="shared" si="44"/>
        <v>0</v>
      </c>
      <c r="K159" s="83">
        <f t="shared" si="44"/>
        <v>0</v>
      </c>
      <c r="L159" s="83">
        <f t="shared" si="44"/>
        <v>0</v>
      </c>
      <c r="M159" s="83">
        <f t="shared" si="44"/>
        <v>0</v>
      </c>
      <c r="N159" s="83">
        <f t="shared" si="44"/>
        <v>0</v>
      </c>
      <c r="O159" s="83">
        <f t="shared" si="44"/>
        <v>0</v>
      </c>
      <c r="P159" s="83">
        <f t="shared" si="44"/>
        <v>0</v>
      </c>
      <c r="Q159" s="83">
        <f t="shared" si="44"/>
        <v>0</v>
      </c>
      <c r="R159" s="83">
        <f t="shared" si="44"/>
        <v>0</v>
      </c>
      <c r="S159" s="83">
        <f t="shared" si="44"/>
        <v>0</v>
      </c>
      <c r="T159" s="83">
        <f t="shared" si="44"/>
        <v>0</v>
      </c>
      <c r="U159" s="83">
        <f t="shared" si="44"/>
        <v>0</v>
      </c>
      <c r="V159" s="83">
        <f t="shared" si="44"/>
        <v>0</v>
      </c>
      <c r="W159" s="43">
        <f t="shared" si="41"/>
        <v>0</v>
      </c>
      <c r="X159" s="47">
        <f>SUM(X150:X158)</f>
        <v>113911</v>
      </c>
      <c r="Y159" s="47">
        <f>SUM(Y150:Y158)</f>
        <v>1366932</v>
      </c>
    </row>
    <row r="160" spans="1:25" ht="18.75" customHeight="1">
      <c r="A160" s="290" t="s">
        <v>99</v>
      </c>
      <c r="B160" s="291"/>
      <c r="C160" s="291"/>
      <c r="D160" s="291"/>
      <c r="E160" s="291"/>
      <c r="F160" s="291"/>
      <c r="G160" s="291"/>
      <c r="H160" s="291"/>
      <c r="I160" s="291"/>
      <c r="J160" s="291"/>
      <c r="K160" s="291"/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2"/>
      <c r="Y160" s="48"/>
    </row>
    <row r="161" spans="1:25" ht="18.75" customHeight="1">
      <c r="A161" s="62">
        <v>1</v>
      </c>
      <c r="B161" s="63" t="s">
        <v>84</v>
      </c>
      <c r="C161" s="65">
        <v>1</v>
      </c>
      <c r="D161" s="65">
        <v>12</v>
      </c>
      <c r="E161" s="40">
        <v>2360</v>
      </c>
      <c r="F161" s="41">
        <f>E161*C161</f>
        <v>2360</v>
      </c>
      <c r="G161" s="41"/>
      <c r="H161" s="43"/>
      <c r="I161" s="43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43">
        <f>SUM(H161:V161)</f>
        <v>0</v>
      </c>
      <c r="X161" s="41">
        <f>C161*E161+W161</f>
        <v>2360</v>
      </c>
      <c r="Y161" s="41">
        <f>X161*12</f>
        <v>28320</v>
      </c>
    </row>
    <row r="162" spans="1:25" ht="18.75" customHeight="1">
      <c r="A162" s="62">
        <v>2</v>
      </c>
      <c r="B162" s="63" t="s">
        <v>90</v>
      </c>
      <c r="C162" s="65">
        <v>2.5</v>
      </c>
      <c r="D162" s="65">
        <v>6</v>
      </c>
      <c r="E162" s="40">
        <v>1614</v>
      </c>
      <c r="F162" s="41">
        <f>E162*C162</f>
        <v>4035</v>
      </c>
      <c r="G162" s="41"/>
      <c r="H162" s="43"/>
      <c r="I162" s="43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43">
        <f>SUM(H162:V162)</f>
        <v>0</v>
      </c>
      <c r="X162" s="41">
        <f>C162*E162+W162</f>
        <v>4035</v>
      </c>
      <c r="Y162" s="41">
        <f>X162*12</f>
        <v>48420</v>
      </c>
    </row>
    <row r="163" spans="1:25" ht="18.75" customHeight="1">
      <c r="A163" s="62">
        <v>3</v>
      </c>
      <c r="B163" s="63" t="s">
        <v>68</v>
      </c>
      <c r="C163" s="62">
        <v>1</v>
      </c>
      <c r="D163" s="62">
        <v>7</v>
      </c>
      <c r="E163" s="37">
        <v>1714</v>
      </c>
      <c r="F163" s="41">
        <f>E163*C163</f>
        <v>1714</v>
      </c>
      <c r="G163" s="41"/>
      <c r="H163" s="43"/>
      <c r="I163" s="43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43">
        <f>SUM(H163:V163)</f>
        <v>0</v>
      </c>
      <c r="X163" s="41">
        <f>C163*E163+W163</f>
        <v>1714</v>
      </c>
      <c r="Y163" s="41">
        <f>X163*12</f>
        <v>20568</v>
      </c>
    </row>
    <row r="164" spans="1:25" ht="18.75" customHeight="1">
      <c r="A164" s="62"/>
      <c r="B164" s="63"/>
      <c r="C164" s="83">
        <f>SUM(C161:C163)</f>
        <v>4.5</v>
      </c>
      <c r="D164" s="83"/>
      <c r="E164" s="83"/>
      <c r="F164" s="84">
        <f>SUM(F161:F163)</f>
        <v>8109</v>
      </c>
      <c r="G164" s="84"/>
      <c r="H164" s="83">
        <f aca="true" t="shared" si="45" ref="H164:V164">SUM(H161:H163)</f>
        <v>0</v>
      </c>
      <c r="I164" s="83">
        <f t="shared" si="45"/>
        <v>0</v>
      </c>
      <c r="J164" s="83">
        <f t="shared" si="45"/>
        <v>0</v>
      </c>
      <c r="K164" s="83">
        <f t="shared" si="45"/>
        <v>0</v>
      </c>
      <c r="L164" s="83">
        <f t="shared" si="45"/>
        <v>0</v>
      </c>
      <c r="M164" s="83">
        <f t="shared" si="45"/>
        <v>0</v>
      </c>
      <c r="N164" s="83">
        <f t="shared" si="45"/>
        <v>0</v>
      </c>
      <c r="O164" s="83">
        <f t="shared" si="45"/>
        <v>0</v>
      </c>
      <c r="P164" s="83">
        <f t="shared" si="45"/>
        <v>0</v>
      </c>
      <c r="Q164" s="83">
        <f t="shared" si="45"/>
        <v>0</v>
      </c>
      <c r="R164" s="83">
        <f t="shared" si="45"/>
        <v>0</v>
      </c>
      <c r="S164" s="83">
        <f t="shared" si="45"/>
        <v>0</v>
      </c>
      <c r="T164" s="83">
        <f t="shared" si="45"/>
        <v>0</v>
      </c>
      <c r="U164" s="83">
        <f t="shared" si="45"/>
        <v>0</v>
      </c>
      <c r="V164" s="83">
        <f t="shared" si="45"/>
        <v>0</v>
      </c>
      <c r="W164" s="43">
        <f>SUM(H164:V164)</f>
        <v>0</v>
      </c>
      <c r="X164" s="68">
        <f>SUM(X161:X163)</f>
        <v>8109</v>
      </c>
      <c r="Y164" s="68">
        <f>SUM(Y161:Y163)</f>
        <v>97308</v>
      </c>
    </row>
    <row r="165" spans="1:25" ht="18.75" customHeight="1">
      <c r="A165" s="290" t="s">
        <v>124</v>
      </c>
      <c r="B165" s="291"/>
      <c r="C165" s="291"/>
      <c r="D165" s="291"/>
      <c r="E165" s="291"/>
      <c r="F165" s="291"/>
      <c r="G165" s="291"/>
      <c r="H165" s="291"/>
      <c r="I165" s="291"/>
      <c r="J165" s="291"/>
      <c r="K165" s="291"/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2"/>
    </row>
    <row r="166" spans="1:25" ht="18.75" customHeight="1">
      <c r="A166" s="62">
        <v>1</v>
      </c>
      <c r="B166" s="63" t="s">
        <v>84</v>
      </c>
      <c r="C166" s="62">
        <v>1</v>
      </c>
      <c r="D166" s="62">
        <v>10</v>
      </c>
      <c r="E166" s="37">
        <v>2026</v>
      </c>
      <c r="F166" s="76">
        <f>E166*C166</f>
        <v>2026</v>
      </c>
      <c r="G166" s="76"/>
      <c r="H166" s="76"/>
      <c r="I166" s="42">
        <f>ROUNDUP(F166*20%,0)</f>
        <v>406</v>
      </c>
      <c r="J166" s="42"/>
      <c r="K166" s="42"/>
      <c r="L166" s="42"/>
      <c r="M166" s="42"/>
      <c r="N166" s="42">
        <f>ROUNDUP(F166*30%,0)</f>
        <v>608</v>
      </c>
      <c r="O166" s="42"/>
      <c r="P166" s="42"/>
      <c r="Q166" s="42">
        <f>ROUNDUP(E166*25%,0)</f>
        <v>507</v>
      </c>
      <c r="R166" s="42"/>
      <c r="S166" s="42">
        <f>ROUNDUP(F166*15%,0)</f>
        <v>304</v>
      </c>
      <c r="T166" s="42"/>
      <c r="U166" s="42"/>
      <c r="V166" s="42"/>
      <c r="W166" s="42">
        <f>SUM(H166:V166)</f>
        <v>1825</v>
      </c>
      <c r="X166" s="41">
        <f>C166*E166+W166</f>
        <v>3851</v>
      </c>
      <c r="Y166" s="80">
        <f>X166*12</f>
        <v>46212</v>
      </c>
    </row>
    <row r="167" spans="1:25" ht="18.75" customHeight="1">
      <c r="A167" s="62">
        <v>2</v>
      </c>
      <c r="B167" s="63" t="s">
        <v>93</v>
      </c>
      <c r="C167" s="62">
        <v>4</v>
      </c>
      <c r="D167" s="62">
        <v>10</v>
      </c>
      <c r="E167" s="37">
        <v>2026</v>
      </c>
      <c r="F167" s="76">
        <f>E167*C167</f>
        <v>8104</v>
      </c>
      <c r="G167" s="76"/>
      <c r="H167" s="76"/>
      <c r="I167" s="42">
        <f>ROUNDUP(F167*20%,0)</f>
        <v>1621</v>
      </c>
      <c r="J167" s="42"/>
      <c r="K167" s="42"/>
      <c r="L167" s="42"/>
      <c r="M167" s="42"/>
      <c r="N167" s="42">
        <f>ROUNDUP(F167*30%,0)</f>
        <v>2432</v>
      </c>
      <c r="O167" s="42"/>
      <c r="P167" s="42"/>
      <c r="Q167" s="42"/>
      <c r="R167" s="42"/>
      <c r="S167" s="42"/>
      <c r="T167" s="42"/>
      <c r="U167" s="42"/>
      <c r="V167" s="42"/>
      <c r="W167" s="42">
        <f>SUM(H167:V167)</f>
        <v>4053</v>
      </c>
      <c r="X167" s="41">
        <f>C167*E167+W167</f>
        <v>12157</v>
      </c>
      <c r="Y167" s="80">
        <f>X167*12</f>
        <v>145884</v>
      </c>
    </row>
    <row r="168" spans="1:25" ht="18.75" customHeight="1">
      <c r="A168" s="62">
        <v>3</v>
      </c>
      <c r="B168" s="63" t="s">
        <v>96</v>
      </c>
      <c r="C168" s="62">
        <v>1</v>
      </c>
      <c r="D168" s="62">
        <v>9</v>
      </c>
      <c r="E168" s="37">
        <v>1925</v>
      </c>
      <c r="F168" s="76">
        <f>E168*C168</f>
        <v>1925</v>
      </c>
      <c r="G168" s="76"/>
      <c r="H168" s="76"/>
      <c r="I168" s="42">
        <f>ROUNDUP(F168*20%,0)</f>
        <v>385</v>
      </c>
      <c r="J168" s="42"/>
      <c r="K168" s="42"/>
      <c r="L168" s="42"/>
      <c r="M168" s="42"/>
      <c r="N168" s="42">
        <f>ROUNDUP(F168*30%,0)</f>
        <v>578</v>
      </c>
      <c r="O168" s="42"/>
      <c r="P168" s="42"/>
      <c r="Q168" s="42"/>
      <c r="R168" s="42"/>
      <c r="S168" s="42"/>
      <c r="T168" s="42"/>
      <c r="U168" s="42"/>
      <c r="V168" s="42"/>
      <c r="W168" s="42">
        <f>SUM(H168:V168)</f>
        <v>963</v>
      </c>
      <c r="X168" s="41">
        <f>C168*E168+W168</f>
        <v>2888</v>
      </c>
      <c r="Y168" s="80">
        <f>X168*12</f>
        <v>34656</v>
      </c>
    </row>
    <row r="169" spans="1:25" ht="18.75" customHeight="1">
      <c r="A169" s="62">
        <v>4</v>
      </c>
      <c r="B169" s="63" t="s">
        <v>107</v>
      </c>
      <c r="C169" s="62">
        <v>2</v>
      </c>
      <c r="D169" s="62">
        <v>7</v>
      </c>
      <c r="E169" s="37">
        <v>1714</v>
      </c>
      <c r="F169" s="76">
        <f>E169*C169</f>
        <v>3428</v>
      </c>
      <c r="G169" s="76"/>
      <c r="H169" s="76"/>
      <c r="I169" s="42">
        <f>ROUNDUP(F169*20%,0)</f>
        <v>686</v>
      </c>
      <c r="J169" s="42"/>
      <c r="K169" s="42"/>
      <c r="L169" s="42"/>
      <c r="M169" s="42"/>
      <c r="N169" s="42">
        <f>ROUNDUP(F169*30%,0)</f>
        <v>1029</v>
      </c>
      <c r="O169" s="42"/>
      <c r="P169" s="42"/>
      <c r="Q169" s="42"/>
      <c r="R169" s="42"/>
      <c r="S169" s="42"/>
      <c r="T169" s="42"/>
      <c r="U169" s="42"/>
      <c r="V169" s="42"/>
      <c r="W169" s="42">
        <f>SUM(H169:V169)</f>
        <v>1715</v>
      </c>
      <c r="X169" s="41">
        <f>C169*E169+W169</f>
        <v>5143</v>
      </c>
      <c r="Y169" s="80">
        <f>X169*12</f>
        <v>61716</v>
      </c>
    </row>
    <row r="170" spans="1:25" ht="18.75" customHeight="1">
      <c r="A170" s="62"/>
      <c r="B170" s="63"/>
      <c r="C170" s="83">
        <f>SUM(C166:C169)</f>
        <v>8</v>
      </c>
      <c r="D170" s="83"/>
      <c r="E170" s="83"/>
      <c r="F170" s="84">
        <f>SUM(F166:F169)</f>
        <v>15483</v>
      </c>
      <c r="G170" s="84"/>
      <c r="H170" s="83">
        <f aca="true" t="shared" si="46" ref="H170:V170">SUM(H166:H169)</f>
        <v>0</v>
      </c>
      <c r="I170" s="83">
        <f t="shared" si="46"/>
        <v>3098</v>
      </c>
      <c r="J170" s="83">
        <f t="shared" si="46"/>
        <v>0</v>
      </c>
      <c r="K170" s="83">
        <f t="shared" si="46"/>
        <v>0</v>
      </c>
      <c r="L170" s="83">
        <f t="shared" si="46"/>
        <v>0</v>
      </c>
      <c r="M170" s="83">
        <f t="shared" si="46"/>
        <v>0</v>
      </c>
      <c r="N170" s="83">
        <f t="shared" si="46"/>
        <v>4647</v>
      </c>
      <c r="O170" s="83">
        <f t="shared" si="46"/>
        <v>0</v>
      </c>
      <c r="P170" s="83">
        <f t="shared" si="46"/>
        <v>0</v>
      </c>
      <c r="Q170" s="83">
        <f t="shared" si="46"/>
        <v>507</v>
      </c>
      <c r="R170" s="83">
        <f t="shared" si="46"/>
        <v>0</v>
      </c>
      <c r="S170" s="83">
        <f t="shared" si="46"/>
        <v>304</v>
      </c>
      <c r="T170" s="83">
        <f t="shared" si="46"/>
        <v>0</v>
      </c>
      <c r="U170" s="83">
        <f t="shared" si="46"/>
        <v>0</v>
      </c>
      <c r="V170" s="83">
        <f t="shared" si="46"/>
        <v>0</v>
      </c>
      <c r="W170" s="42">
        <f>SUM(H170:V170)</f>
        <v>8556</v>
      </c>
      <c r="X170" s="47">
        <f>SUM(X166:X169)</f>
        <v>24039</v>
      </c>
      <c r="Y170" s="47">
        <f>SUM(Y166:Y169)</f>
        <v>288468</v>
      </c>
    </row>
    <row r="171" spans="1:25" ht="18" customHeight="1">
      <c r="A171" s="290" t="s">
        <v>125</v>
      </c>
      <c r="B171" s="291"/>
      <c r="C171" s="291"/>
      <c r="D171" s="291"/>
      <c r="E171" s="291"/>
      <c r="F171" s="291"/>
      <c r="G171" s="291"/>
      <c r="H171" s="291"/>
      <c r="I171" s="291"/>
      <c r="J171" s="291"/>
      <c r="K171" s="291"/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2"/>
      <c r="Y171" s="62"/>
    </row>
    <row r="172" spans="1:25" ht="18" customHeight="1">
      <c r="A172" s="62">
        <v>1</v>
      </c>
      <c r="B172" s="63" t="s">
        <v>84</v>
      </c>
      <c r="C172" s="65">
        <v>1</v>
      </c>
      <c r="D172" s="65">
        <v>10</v>
      </c>
      <c r="E172" s="40">
        <v>2026</v>
      </c>
      <c r="F172" s="41">
        <f aca="true" t="shared" si="47" ref="F172:F179">E172*C172</f>
        <v>2026</v>
      </c>
      <c r="G172" s="41"/>
      <c r="H172" s="43"/>
      <c r="I172" s="43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3">
        <f aca="true" t="shared" si="48" ref="W172:W179">SUM(H172:V172)</f>
        <v>0</v>
      </c>
      <c r="X172" s="41">
        <f aca="true" t="shared" si="49" ref="X172:X179">C172*E172+W172</f>
        <v>2026</v>
      </c>
      <c r="Y172" s="80">
        <f aca="true" t="shared" si="50" ref="Y172:Y179">X172*12</f>
        <v>24312</v>
      </c>
    </row>
    <row r="173" spans="1:25" ht="18" customHeight="1">
      <c r="A173" s="62">
        <v>2</v>
      </c>
      <c r="B173" s="63" t="s">
        <v>100</v>
      </c>
      <c r="C173" s="65">
        <v>1</v>
      </c>
      <c r="D173" s="65"/>
      <c r="E173" s="40">
        <v>1925</v>
      </c>
      <c r="F173" s="41">
        <f t="shared" si="47"/>
        <v>1925</v>
      </c>
      <c r="G173" s="41"/>
      <c r="H173" s="43"/>
      <c r="I173" s="43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3">
        <f t="shared" si="48"/>
        <v>0</v>
      </c>
      <c r="X173" s="41">
        <f t="shared" si="49"/>
        <v>1925</v>
      </c>
      <c r="Y173" s="80">
        <f t="shared" si="50"/>
        <v>23100</v>
      </c>
    </row>
    <row r="174" spans="1:25" ht="18" customHeight="1">
      <c r="A174" s="62">
        <v>3</v>
      </c>
      <c r="B174" s="63" t="s">
        <v>126</v>
      </c>
      <c r="C174" s="65">
        <v>1</v>
      </c>
      <c r="D174" s="65">
        <v>9</v>
      </c>
      <c r="E174" s="40">
        <v>1925</v>
      </c>
      <c r="F174" s="41">
        <f t="shared" si="47"/>
        <v>1925</v>
      </c>
      <c r="G174" s="41"/>
      <c r="H174" s="43"/>
      <c r="I174" s="43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3">
        <f t="shared" si="48"/>
        <v>0</v>
      </c>
      <c r="X174" s="41">
        <f t="shared" si="49"/>
        <v>1925</v>
      </c>
      <c r="Y174" s="80">
        <f t="shared" si="50"/>
        <v>23100</v>
      </c>
    </row>
    <row r="175" spans="1:25" ht="18" customHeight="1">
      <c r="A175" s="62">
        <v>4</v>
      </c>
      <c r="B175" s="63" t="s">
        <v>127</v>
      </c>
      <c r="C175" s="65">
        <v>1</v>
      </c>
      <c r="D175" s="95">
        <v>7</v>
      </c>
      <c r="E175" s="40">
        <v>1714</v>
      </c>
      <c r="F175" s="41">
        <f t="shared" si="47"/>
        <v>1714</v>
      </c>
      <c r="G175" s="41"/>
      <c r="H175" s="43"/>
      <c r="I175" s="43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3">
        <f t="shared" si="48"/>
        <v>0</v>
      </c>
      <c r="X175" s="41">
        <f t="shared" si="49"/>
        <v>1714</v>
      </c>
      <c r="Y175" s="80">
        <f t="shared" si="50"/>
        <v>20568</v>
      </c>
    </row>
    <row r="176" spans="1:25" ht="18" customHeight="1">
      <c r="A176" s="62">
        <v>5</v>
      </c>
      <c r="B176" s="63" t="s">
        <v>65</v>
      </c>
      <c r="C176" s="65">
        <v>7</v>
      </c>
      <c r="D176" s="65">
        <v>9</v>
      </c>
      <c r="E176" s="40">
        <v>1925</v>
      </c>
      <c r="F176" s="41">
        <f t="shared" si="47"/>
        <v>13475</v>
      </c>
      <c r="G176" s="41"/>
      <c r="H176" s="43"/>
      <c r="I176" s="43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3">
        <f t="shared" si="48"/>
        <v>0</v>
      </c>
      <c r="X176" s="41">
        <f t="shared" si="49"/>
        <v>13475</v>
      </c>
      <c r="Y176" s="80">
        <f t="shared" si="50"/>
        <v>161700</v>
      </c>
    </row>
    <row r="177" spans="1:25" ht="18" customHeight="1">
      <c r="A177" s="62">
        <v>6</v>
      </c>
      <c r="B177" s="63" t="s">
        <v>66</v>
      </c>
      <c r="C177" s="65">
        <v>1</v>
      </c>
      <c r="D177" s="65">
        <v>8</v>
      </c>
      <c r="E177" s="40">
        <v>1825</v>
      </c>
      <c r="F177" s="41">
        <f t="shared" si="47"/>
        <v>1825</v>
      </c>
      <c r="G177" s="41"/>
      <c r="H177" s="43"/>
      <c r="I177" s="43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3">
        <f t="shared" si="48"/>
        <v>0</v>
      </c>
      <c r="X177" s="41">
        <f t="shared" si="49"/>
        <v>1825</v>
      </c>
      <c r="Y177" s="80">
        <f t="shared" si="50"/>
        <v>21900</v>
      </c>
    </row>
    <row r="178" spans="1:25" ht="18" customHeight="1">
      <c r="A178" s="62">
        <v>7</v>
      </c>
      <c r="B178" s="63" t="s">
        <v>128</v>
      </c>
      <c r="C178" s="65">
        <v>4</v>
      </c>
      <c r="D178" s="65">
        <v>7</v>
      </c>
      <c r="E178" s="40">
        <v>1714</v>
      </c>
      <c r="F178" s="41">
        <f t="shared" si="47"/>
        <v>6856</v>
      </c>
      <c r="G178" s="41"/>
      <c r="H178" s="43"/>
      <c r="I178" s="43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3">
        <f t="shared" si="48"/>
        <v>0</v>
      </c>
      <c r="X178" s="41">
        <f t="shared" si="49"/>
        <v>6856</v>
      </c>
      <c r="Y178" s="80">
        <f t="shared" si="50"/>
        <v>82272</v>
      </c>
    </row>
    <row r="179" spans="1:25" ht="18" customHeight="1">
      <c r="A179" s="62">
        <v>8</v>
      </c>
      <c r="B179" s="63" t="s">
        <v>129</v>
      </c>
      <c r="C179" s="65">
        <v>2</v>
      </c>
      <c r="D179" s="65">
        <v>1</v>
      </c>
      <c r="E179" s="40">
        <v>1378</v>
      </c>
      <c r="F179" s="41">
        <f t="shared" si="47"/>
        <v>2756</v>
      </c>
      <c r="G179" s="41"/>
      <c r="H179" s="43"/>
      <c r="I179" s="43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3">
        <f t="shared" si="48"/>
        <v>0</v>
      </c>
      <c r="X179" s="41">
        <f t="shared" si="49"/>
        <v>2756</v>
      </c>
      <c r="Y179" s="80">
        <f t="shared" si="50"/>
        <v>33072</v>
      </c>
    </row>
    <row r="180" spans="1:25" ht="18" customHeight="1">
      <c r="A180" s="96"/>
      <c r="B180" s="97"/>
      <c r="C180" s="98">
        <f>SUM(C172:C179)</f>
        <v>18</v>
      </c>
      <c r="D180" s="98"/>
      <c r="E180" s="98"/>
      <c r="F180" s="99">
        <f>SUM(F172:F179)</f>
        <v>32502</v>
      </c>
      <c r="G180" s="99"/>
      <c r="H180" s="99">
        <f aca="true" t="shared" si="51" ref="H180:Y180">SUM(H172:H179)</f>
        <v>0</v>
      </c>
      <c r="I180" s="99">
        <f t="shared" si="51"/>
        <v>0</v>
      </c>
      <c r="J180" s="99">
        <f t="shared" si="51"/>
        <v>0</v>
      </c>
      <c r="K180" s="99">
        <f t="shared" si="51"/>
        <v>0</v>
      </c>
      <c r="L180" s="99">
        <f t="shared" si="51"/>
        <v>0</v>
      </c>
      <c r="M180" s="99">
        <f t="shared" si="51"/>
        <v>0</v>
      </c>
      <c r="N180" s="99">
        <f t="shared" si="51"/>
        <v>0</v>
      </c>
      <c r="O180" s="99">
        <f t="shared" si="51"/>
        <v>0</v>
      </c>
      <c r="P180" s="99">
        <f t="shared" si="51"/>
        <v>0</v>
      </c>
      <c r="Q180" s="99">
        <f t="shared" si="51"/>
        <v>0</v>
      </c>
      <c r="R180" s="99">
        <f t="shared" si="51"/>
        <v>0</v>
      </c>
      <c r="S180" s="99">
        <f t="shared" si="51"/>
        <v>0</v>
      </c>
      <c r="T180" s="99">
        <f t="shared" si="51"/>
        <v>0</v>
      </c>
      <c r="U180" s="100">
        <f t="shared" si="51"/>
        <v>0</v>
      </c>
      <c r="V180" s="100">
        <f t="shared" si="51"/>
        <v>0</v>
      </c>
      <c r="W180" s="99">
        <f t="shared" si="51"/>
        <v>0</v>
      </c>
      <c r="X180" s="47">
        <f t="shared" si="51"/>
        <v>32502</v>
      </c>
      <c r="Y180" s="47">
        <f t="shared" si="51"/>
        <v>390024</v>
      </c>
    </row>
    <row r="181" spans="1:25" ht="18" customHeight="1">
      <c r="A181" s="271" t="s">
        <v>130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3"/>
    </row>
    <row r="182" spans="1:25" ht="18" customHeight="1">
      <c r="A182" s="101">
        <v>1</v>
      </c>
      <c r="B182" s="102" t="s">
        <v>131</v>
      </c>
      <c r="C182" s="101">
        <v>1</v>
      </c>
      <c r="D182" s="101">
        <v>9</v>
      </c>
      <c r="E182" s="101">
        <v>1925</v>
      </c>
      <c r="F182" s="103">
        <f>E182*C182</f>
        <v>1925</v>
      </c>
      <c r="G182" s="103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>
        <f>SUM(H182:V182)</f>
        <v>0</v>
      </c>
      <c r="X182" s="103">
        <f>W182+F182</f>
        <v>1925</v>
      </c>
      <c r="Y182" s="103">
        <f>X182*12</f>
        <v>23100</v>
      </c>
    </row>
    <row r="183" spans="1:25" ht="18" customHeight="1">
      <c r="A183" s="101">
        <v>2</v>
      </c>
      <c r="B183" s="63" t="s">
        <v>104</v>
      </c>
      <c r="C183" s="65">
        <v>1</v>
      </c>
      <c r="D183" s="101">
        <v>5</v>
      </c>
      <c r="E183" s="101">
        <v>1514</v>
      </c>
      <c r="F183" s="103">
        <f>E183*C183</f>
        <v>1514</v>
      </c>
      <c r="G183" s="103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>
        <f>SUM(H183:V183)</f>
        <v>0</v>
      </c>
      <c r="X183" s="103">
        <f>W183+F183</f>
        <v>1514</v>
      </c>
      <c r="Y183" s="103">
        <f>X183*12</f>
        <v>18168</v>
      </c>
    </row>
    <row r="184" spans="1:25" ht="18" customHeight="1">
      <c r="A184" s="101">
        <v>3</v>
      </c>
      <c r="B184" s="63" t="s">
        <v>65</v>
      </c>
      <c r="C184" s="62">
        <v>1</v>
      </c>
      <c r="D184" s="101">
        <v>9</v>
      </c>
      <c r="E184" s="101">
        <v>1925</v>
      </c>
      <c r="F184" s="103">
        <f>E184*C184</f>
        <v>1925</v>
      </c>
      <c r="G184" s="103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>
        <f>SUM(H184:V184)</f>
        <v>0</v>
      </c>
      <c r="X184" s="103">
        <f>W184+F184</f>
        <v>1925</v>
      </c>
      <c r="Y184" s="103">
        <f>X184*12</f>
        <v>23100</v>
      </c>
    </row>
    <row r="185" spans="1:25" ht="18" customHeight="1">
      <c r="A185" s="101">
        <v>4</v>
      </c>
      <c r="B185" s="63" t="s">
        <v>107</v>
      </c>
      <c r="C185" s="62">
        <f>8-1</f>
        <v>7</v>
      </c>
      <c r="D185" s="101">
        <v>7</v>
      </c>
      <c r="E185" s="101">
        <v>1714</v>
      </c>
      <c r="F185" s="103">
        <f>E185*C185</f>
        <v>11998</v>
      </c>
      <c r="G185" s="103"/>
      <c r="H185" s="101"/>
      <c r="I185" s="40">
        <f>ROUNDUP(F185*20%,0)</f>
        <v>2400</v>
      </c>
      <c r="J185" s="101"/>
      <c r="K185" s="101"/>
      <c r="L185" s="101"/>
      <c r="M185" s="101"/>
      <c r="N185" s="40">
        <f>ROUNDUP(F185*30%,0)</f>
        <v>3600</v>
      </c>
      <c r="O185" s="101"/>
      <c r="P185" s="101"/>
      <c r="Q185" s="101"/>
      <c r="R185" s="101"/>
      <c r="S185" s="101"/>
      <c r="T185" s="101"/>
      <c r="U185" s="101"/>
      <c r="V185" s="101"/>
      <c r="W185" s="101">
        <f>SUM(H185:V185)</f>
        <v>6000</v>
      </c>
      <c r="X185" s="103">
        <f>W185+F185</f>
        <v>17998</v>
      </c>
      <c r="Y185" s="103">
        <f>X185*12</f>
        <v>215976</v>
      </c>
    </row>
    <row r="186" spans="1:25" ht="18" customHeight="1">
      <c r="A186" s="101">
        <v>5</v>
      </c>
      <c r="B186" s="63" t="s">
        <v>106</v>
      </c>
      <c r="C186" s="65">
        <v>1</v>
      </c>
      <c r="D186" s="101">
        <v>5</v>
      </c>
      <c r="E186" s="101">
        <v>1514</v>
      </c>
      <c r="F186" s="103">
        <f>E186*C186</f>
        <v>1514</v>
      </c>
      <c r="G186" s="103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>
        <f>SUM(H186:V186)</f>
        <v>0</v>
      </c>
      <c r="X186" s="103">
        <f>W186+F186</f>
        <v>1514</v>
      </c>
      <c r="Y186" s="103">
        <f>X186*12</f>
        <v>18168</v>
      </c>
    </row>
    <row r="187" spans="1:25" ht="18" customHeight="1">
      <c r="A187" s="104"/>
      <c r="B187" s="105" t="s">
        <v>132</v>
      </c>
      <c r="C187" s="73">
        <f>SUM(C182:C186)</f>
        <v>11</v>
      </c>
      <c r="D187" s="106"/>
      <c r="E187" s="107"/>
      <c r="F187" s="47">
        <f>SUM(F182:F186)</f>
        <v>18876</v>
      </c>
      <c r="G187" s="47"/>
      <c r="H187" s="107">
        <f aca="true" t="shared" si="52" ref="H187:Y187">SUM(H182:H186)</f>
        <v>0</v>
      </c>
      <c r="I187" s="107">
        <f t="shared" si="52"/>
        <v>2400</v>
      </c>
      <c r="J187" s="107">
        <f t="shared" si="52"/>
        <v>0</v>
      </c>
      <c r="K187" s="107">
        <f t="shared" si="52"/>
        <v>0</v>
      </c>
      <c r="L187" s="107">
        <f t="shared" si="52"/>
        <v>0</v>
      </c>
      <c r="M187" s="107">
        <f t="shared" si="52"/>
        <v>0</v>
      </c>
      <c r="N187" s="107">
        <f t="shared" si="52"/>
        <v>3600</v>
      </c>
      <c r="O187" s="107">
        <f t="shared" si="52"/>
        <v>0</v>
      </c>
      <c r="P187" s="107">
        <f t="shared" si="52"/>
        <v>0</v>
      </c>
      <c r="Q187" s="107">
        <f t="shared" si="52"/>
        <v>0</v>
      </c>
      <c r="R187" s="107">
        <f t="shared" si="52"/>
        <v>0</v>
      </c>
      <c r="S187" s="107">
        <f t="shared" si="52"/>
        <v>0</v>
      </c>
      <c r="T187" s="107">
        <f t="shared" si="52"/>
        <v>0</v>
      </c>
      <c r="U187" s="107">
        <f t="shared" si="52"/>
        <v>0</v>
      </c>
      <c r="V187" s="107">
        <f t="shared" si="52"/>
        <v>0</v>
      </c>
      <c r="W187" s="107">
        <f t="shared" si="52"/>
        <v>6000</v>
      </c>
      <c r="X187" s="47">
        <f t="shared" si="52"/>
        <v>24876</v>
      </c>
      <c r="Y187" s="47">
        <f t="shared" si="52"/>
        <v>298512</v>
      </c>
    </row>
    <row r="188" spans="1:25" ht="18" customHeight="1">
      <c r="A188" s="290" t="s">
        <v>133</v>
      </c>
      <c r="B188" s="291"/>
      <c r="C188" s="291"/>
      <c r="D188" s="291"/>
      <c r="E188" s="291"/>
      <c r="F188" s="291"/>
      <c r="G188" s="291"/>
      <c r="H188" s="291"/>
      <c r="I188" s="291"/>
      <c r="J188" s="291"/>
      <c r="K188" s="291"/>
      <c r="L188" s="291"/>
      <c r="M188" s="291"/>
      <c r="N188" s="291"/>
      <c r="O188" s="291"/>
      <c r="P188" s="291"/>
      <c r="Q188" s="291"/>
      <c r="R188" s="291"/>
      <c r="S188" s="291"/>
      <c r="T188" s="291"/>
      <c r="U188" s="291"/>
      <c r="V188" s="291"/>
      <c r="W188" s="291"/>
      <c r="X188" s="292"/>
      <c r="Y188" s="62"/>
    </row>
    <row r="189" spans="1:25" ht="18" customHeight="1">
      <c r="A189" s="62">
        <v>1</v>
      </c>
      <c r="B189" s="63" t="s">
        <v>84</v>
      </c>
      <c r="C189" s="65">
        <v>1</v>
      </c>
      <c r="D189" s="65">
        <v>10</v>
      </c>
      <c r="E189" s="40">
        <v>2026</v>
      </c>
      <c r="F189" s="41">
        <f aca="true" t="shared" si="53" ref="F189:F207">E189*C189</f>
        <v>2026</v>
      </c>
      <c r="G189" s="41"/>
      <c r="H189" s="43"/>
      <c r="I189" s="43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3">
        <f aca="true" t="shared" si="54" ref="W189:W207">SUM(H189:V189)</f>
        <v>0</v>
      </c>
      <c r="X189" s="41">
        <f aca="true" t="shared" si="55" ref="X189:X196">C189*E189+W189</f>
        <v>2026</v>
      </c>
      <c r="Y189" s="80">
        <f aca="true" t="shared" si="56" ref="Y189:Y207">X189*12</f>
        <v>24312</v>
      </c>
    </row>
    <row r="190" spans="1:25" ht="18" customHeight="1">
      <c r="A190" s="62">
        <v>2</v>
      </c>
      <c r="B190" s="63" t="s">
        <v>65</v>
      </c>
      <c r="C190" s="65">
        <v>1</v>
      </c>
      <c r="D190" s="65">
        <v>9</v>
      </c>
      <c r="E190" s="40">
        <v>1925</v>
      </c>
      <c r="F190" s="41">
        <f t="shared" si="53"/>
        <v>1925</v>
      </c>
      <c r="G190" s="41"/>
      <c r="H190" s="43"/>
      <c r="I190" s="43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3">
        <f t="shared" si="54"/>
        <v>0</v>
      </c>
      <c r="X190" s="41">
        <f t="shared" si="55"/>
        <v>1925</v>
      </c>
      <c r="Y190" s="80">
        <f t="shared" si="56"/>
        <v>23100</v>
      </c>
    </row>
    <row r="191" spans="1:25" ht="18" customHeight="1">
      <c r="A191" s="62">
        <v>3</v>
      </c>
      <c r="B191" s="63" t="s">
        <v>67</v>
      </c>
      <c r="C191" s="65">
        <v>1</v>
      </c>
      <c r="D191" s="95">
        <v>7</v>
      </c>
      <c r="E191" s="40">
        <v>1714</v>
      </c>
      <c r="F191" s="41">
        <f t="shared" si="53"/>
        <v>1714</v>
      </c>
      <c r="G191" s="41"/>
      <c r="H191" s="43"/>
      <c r="I191" s="43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3">
        <f t="shared" si="54"/>
        <v>0</v>
      </c>
      <c r="X191" s="41">
        <f t="shared" si="55"/>
        <v>1714</v>
      </c>
      <c r="Y191" s="80">
        <f t="shared" si="56"/>
        <v>20568</v>
      </c>
    </row>
    <row r="192" spans="1:25" ht="18" customHeight="1">
      <c r="A192" s="62">
        <v>4</v>
      </c>
      <c r="B192" s="63" t="s">
        <v>134</v>
      </c>
      <c r="C192" s="65">
        <f>13.5-1-0.5+0.5</f>
        <v>12.5</v>
      </c>
      <c r="D192" s="65">
        <v>5</v>
      </c>
      <c r="E192" s="40">
        <v>1514</v>
      </c>
      <c r="F192" s="41">
        <f t="shared" si="53"/>
        <v>18925</v>
      </c>
      <c r="G192" s="41"/>
      <c r="H192" s="43"/>
      <c r="I192" s="43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3">
        <f t="shared" si="54"/>
        <v>0</v>
      </c>
      <c r="X192" s="41">
        <f t="shared" si="55"/>
        <v>18925</v>
      </c>
      <c r="Y192" s="80">
        <f t="shared" si="56"/>
        <v>227100</v>
      </c>
    </row>
    <row r="193" spans="1:25" ht="18" customHeight="1">
      <c r="A193" s="62">
        <v>5</v>
      </c>
      <c r="B193" s="63" t="s">
        <v>135</v>
      </c>
      <c r="C193" s="65">
        <f>94.5+1+1-1</f>
        <v>95.5</v>
      </c>
      <c r="D193" s="65">
        <v>2</v>
      </c>
      <c r="E193" s="40">
        <v>1383</v>
      </c>
      <c r="F193" s="41">
        <f t="shared" si="53"/>
        <v>132076.5</v>
      </c>
      <c r="G193" s="41"/>
      <c r="H193" s="43"/>
      <c r="I193" s="43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>
        <f>ROUNDUP(F193*10%,0)</f>
        <v>13208</v>
      </c>
      <c r="U193" s="42"/>
      <c r="V193" s="42"/>
      <c r="W193" s="66">
        <f t="shared" si="54"/>
        <v>13208</v>
      </c>
      <c r="X193" s="41">
        <f t="shared" si="55"/>
        <v>145284.5</v>
      </c>
      <c r="Y193" s="80">
        <f t="shared" si="56"/>
        <v>1743414</v>
      </c>
    </row>
    <row r="194" spans="1:25" ht="18" customHeight="1">
      <c r="A194" s="62">
        <v>6</v>
      </c>
      <c r="B194" s="63" t="s">
        <v>68</v>
      </c>
      <c r="C194" s="65">
        <v>1</v>
      </c>
      <c r="D194" s="65">
        <v>7</v>
      </c>
      <c r="E194" s="40">
        <v>1714</v>
      </c>
      <c r="F194" s="41">
        <f t="shared" si="53"/>
        <v>1714</v>
      </c>
      <c r="G194" s="41"/>
      <c r="H194" s="43"/>
      <c r="I194" s="43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3">
        <f t="shared" si="54"/>
        <v>0</v>
      </c>
      <c r="X194" s="41">
        <f t="shared" si="55"/>
        <v>1714</v>
      </c>
      <c r="Y194" s="80">
        <f t="shared" si="56"/>
        <v>20568</v>
      </c>
    </row>
    <row r="195" spans="1:25" ht="18" customHeight="1">
      <c r="A195" s="62">
        <v>7</v>
      </c>
      <c r="B195" s="63" t="s">
        <v>136</v>
      </c>
      <c r="C195" s="65">
        <f>1+1</f>
        <v>2</v>
      </c>
      <c r="D195" s="65">
        <v>5</v>
      </c>
      <c r="E195" s="40">
        <v>1514</v>
      </c>
      <c r="F195" s="41">
        <f t="shared" si="53"/>
        <v>3028</v>
      </c>
      <c r="G195" s="41"/>
      <c r="H195" s="43"/>
      <c r="I195" s="43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3">
        <f t="shared" si="54"/>
        <v>0</v>
      </c>
      <c r="X195" s="41">
        <f t="shared" si="55"/>
        <v>3028</v>
      </c>
      <c r="Y195" s="80">
        <f t="shared" si="56"/>
        <v>36336</v>
      </c>
    </row>
    <row r="196" spans="1:25" ht="18" customHeight="1">
      <c r="A196" s="62">
        <v>8</v>
      </c>
      <c r="B196" s="63" t="s">
        <v>137</v>
      </c>
      <c r="C196" s="65">
        <f>111-3-2.5-5+1+8-5-6-1+4-2-1+5-3+2</f>
        <v>102.5</v>
      </c>
      <c r="D196" s="65">
        <v>2</v>
      </c>
      <c r="E196" s="40">
        <v>1383</v>
      </c>
      <c r="F196" s="41">
        <f t="shared" si="53"/>
        <v>141757.5</v>
      </c>
      <c r="G196" s="41"/>
      <c r="H196" s="43"/>
      <c r="I196" s="43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3">
        <f t="shared" si="54"/>
        <v>0</v>
      </c>
      <c r="X196" s="41">
        <f t="shared" si="55"/>
        <v>141757.5</v>
      </c>
      <c r="Y196" s="80">
        <f t="shared" si="56"/>
        <v>1701090</v>
      </c>
    </row>
    <row r="197" spans="1:25" ht="18" customHeight="1">
      <c r="A197" s="62">
        <v>9</v>
      </c>
      <c r="B197" s="63" t="s">
        <v>138</v>
      </c>
      <c r="C197" s="62">
        <v>5</v>
      </c>
      <c r="D197" s="62">
        <v>1</v>
      </c>
      <c r="E197" s="37">
        <v>1378</v>
      </c>
      <c r="F197" s="80">
        <f t="shared" si="53"/>
        <v>6890</v>
      </c>
      <c r="G197" s="80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>
        <f t="shared" si="54"/>
        <v>0</v>
      </c>
      <c r="X197" s="80">
        <f>F197+W197</f>
        <v>6890</v>
      </c>
      <c r="Y197" s="80">
        <f t="shared" si="56"/>
        <v>82680</v>
      </c>
    </row>
    <row r="198" spans="1:25" ht="18" customHeight="1">
      <c r="A198" s="62">
        <v>10</v>
      </c>
      <c r="B198" s="63" t="s">
        <v>139</v>
      </c>
      <c r="C198" s="65">
        <f>31.5+2+5-1</f>
        <v>37.5</v>
      </c>
      <c r="D198" s="65">
        <v>1</v>
      </c>
      <c r="E198" s="40">
        <v>1378</v>
      </c>
      <c r="F198" s="41">
        <f t="shared" si="53"/>
        <v>51675</v>
      </c>
      <c r="G198" s="41"/>
      <c r="H198" s="43"/>
      <c r="I198" s="43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3">
        <f t="shared" si="54"/>
        <v>0</v>
      </c>
      <c r="X198" s="41">
        <f aca="true" t="shared" si="57" ref="X198:X207">C198*E198+W198</f>
        <v>51675</v>
      </c>
      <c r="Y198" s="80">
        <f t="shared" si="56"/>
        <v>620100</v>
      </c>
    </row>
    <row r="199" spans="1:25" ht="18" customHeight="1">
      <c r="A199" s="62">
        <v>11</v>
      </c>
      <c r="B199" s="63" t="s">
        <v>140</v>
      </c>
      <c r="C199" s="65">
        <f>3-2+0.5</f>
        <v>1.5</v>
      </c>
      <c r="D199" s="65">
        <v>5</v>
      </c>
      <c r="E199" s="40">
        <v>1514</v>
      </c>
      <c r="F199" s="41">
        <f t="shared" si="53"/>
        <v>2271</v>
      </c>
      <c r="G199" s="41"/>
      <c r="H199" s="43"/>
      <c r="I199" s="43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3">
        <f t="shared" si="54"/>
        <v>0</v>
      </c>
      <c r="X199" s="41">
        <f t="shared" si="57"/>
        <v>2271</v>
      </c>
      <c r="Y199" s="80">
        <f t="shared" si="56"/>
        <v>27252</v>
      </c>
    </row>
    <row r="200" spans="1:25" ht="18" customHeight="1">
      <c r="A200" s="62">
        <v>12</v>
      </c>
      <c r="B200" s="63" t="s">
        <v>141</v>
      </c>
      <c r="C200" s="65">
        <f>1.5-0.5</f>
        <v>1</v>
      </c>
      <c r="D200" s="65">
        <v>4</v>
      </c>
      <c r="E200" s="40">
        <v>1414</v>
      </c>
      <c r="F200" s="41">
        <f t="shared" si="53"/>
        <v>1414</v>
      </c>
      <c r="G200" s="41"/>
      <c r="H200" s="43"/>
      <c r="I200" s="43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3">
        <f t="shared" si="54"/>
        <v>0</v>
      </c>
      <c r="X200" s="41">
        <f t="shared" si="57"/>
        <v>1414</v>
      </c>
      <c r="Y200" s="80">
        <f t="shared" si="56"/>
        <v>16968</v>
      </c>
    </row>
    <row r="201" spans="1:25" ht="18" customHeight="1">
      <c r="A201" s="62">
        <v>13</v>
      </c>
      <c r="B201" s="63" t="s">
        <v>142</v>
      </c>
      <c r="C201" s="65">
        <v>1</v>
      </c>
      <c r="D201" s="65">
        <v>3</v>
      </c>
      <c r="E201" s="40">
        <v>1393</v>
      </c>
      <c r="F201" s="41">
        <f t="shared" si="53"/>
        <v>1393</v>
      </c>
      <c r="G201" s="41"/>
      <c r="H201" s="43"/>
      <c r="I201" s="43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3">
        <f t="shared" si="54"/>
        <v>0</v>
      </c>
      <c r="X201" s="41">
        <f t="shared" si="57"/>
        <v>1393</v>
      </c>
      <c r="Y201" s="80">
        <f t="shared" si="56"/>
        <v>16716</v>
      </c>
    </row>
    <row r="202" spans="1:25" ht="18" customHeight="1">
      <c r="A202" s="62">
        <v>14</v>
      </c>
      <c r="B202" s="63" t="s">
        <v>143</v>
      </c>
      <c r="C202" s="65">
        <v>2</v>
      </c>
      <c r="D202" s="65">
        <v>2</v>
      </c>
      <c r="E202" s="40">
        <v>1383</v>
      </c>
      <c r="F202" s="41">
        <f t="shared" si="53"/>
        <v>2766</v>
      </c>
      <c r="G202" s="41"/>
      <c r="H202" s="43"/>
      <c r="I202" s="43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3">
        <f t="shared" si="54"/>
        <v>0</v>
      </c>
      <c r="X202" s="41">
        <f t="shared" si="57"/>
        <v>2766</v>
      </c>
      <c r="Y202" s="80">
        <f t="shared" si="56"/>
        <v>33192</v>
      </c>
    </row>
    <row r="203" spans="1:25" ht="18" customHeight="1">
      <c r="A203" s="62">
        <v>15</v>
      </c>
      <c r="B203" s="63" t="s">
        <v>129</v>
      </c>
      <c r="C203" s="65">
        <f>5</f>
        <v>5</v>
      </c>
      <c r="D203" s="65">
        <v>1</v>
      </c>
      <c r="E203" s="40">
        <v>1378</v>
      </c>
      <c r="F203" s="41">
        <f t="shared" si="53"/>
        <v>6890</v>
      </c>
      <c r="G203" s="41"/>
      <c r="H203" s="43"/>
      <c r="I203" s="43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3">
        <f t="shared" si="54"/>
        <v>0</v>
      </c>
      <c r="X203" s="41">
        <f t="shared" si="57"/>
        <v>6890</v>
      </c>
      <c r="Y203" s="80">
        <f t="shared" si="56"/>
        <v>82680</v>
      </c>
    </row>
    <row r="204" spans="1:25" ht="18" customHeight="1">
      <c r="A204" s="62">
        <v>16</v>
      </c>
      <c r="B204" s="63" t="s">
        <v>144</v>
      </c>
      <c r="C204" s="65">
        <f>5+1-1</f>
        <v>5</v>
      </c>
      <c r="D204" s="65">
        <v>1</v>
      </c>
      <c r="E204" s="40">
        <v>1378</v>
      </c>
      <c r="F204" s="41">
        <f t="shared" si="53"/>
        <v>6890</v>
      </c>
      <c r="G204" s="41"/>
      <c r="H204" s="43"/>
      <c r="I204" s="43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3">
        <f t="shared" si="54"/>
        <v>0</v>
      </c>
      <c r="X204" s="41">
        <f t="shared" si="57"/>
        <v>6890</v>
      </c>
      <c r="Y204" s="80">
        <f t="shared" si="56"/>
        <v>82680</v>
      </c>
    </row>
    <row r="205" spans="1:25" ht="18" customHeight="1">
      <c r="A205" s="62">
        <v>17</v>
      </c>
      <c r="B205" s="63" t="s">
        <v>145</v>
      </c>
      <c r="C205" s="65">
        <v>1</v>
      </c>
      <c r="D205" s="65">
        <v>5</v>
      </c>
      <c r="E205" s="40">
        <v>1514</v>
      </c>
      <c r="F205" s="41">
        <f t="shared" si="53"/>
        <v>1514</v>
      </c>
      <c r="G205" s="41"/>
      <c r="H205" s="43"/>
      <c r="I205" s="43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3">
        <f t="shared" si="54"/>
        <v>0</v>
      </c>
      <c r="X205" s="41">
        <f t="shared" si="57"/>
        <v>1514</v>
      </c>
      <c r="Y205" s="80">
        <f t="shared" si="56"/>
        <v>18168</v>
      </c>
    </row>
    <row r="206" spans="1:25" ht="18" customHeight="1">
      <c r="A206" s="62">
        <v>18</v>
      </c>
      <c r="B206" s="63" t="s">
        <v>146</v>
      </c>
      <c r="C206" s="65">
        <v>1</v>
      </c>
      <c r="D206" s="65">
        <v>4</v>
      </c>
      <c r="E206" s="40">
        <v>1414</v>
      </c>
      <c r="F206" s="41">
        <f t="shared" si="53"/>
        <v>1414</v>
      </c>
      <c r="G206" s="41"/>
      <c r="H206" s="43"/>
      <c r="I206" s="43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3">
        <f t="shared" si="54"/>
        <v>0</v>
      </c>
      <c r="X206" s="41">
        <f t="shared" si="57"/>
        <v>1414</v>
      </c>
      <c r="Y206" s="80">
        <f t="shared" si="56"/>
        <v>16968</v>
      </c>
    </row>
    <row r="207" spans="1:25" ht="18" customHeight="1">
      <c r="A207" s="62">
        <v>19</v>
      </c>
      <c r="B207" s="63" t="s">
        <v>147</v>
      </c>
      <c r="C207" s="65">
        <v>1</v>
      </c>
      <c r="D207" s="65">
        <v>3</v>
      </c>
      <c r="E207" s="40">
        <v>1393</v>
      </c>
      <c r="F207" s="41">
        <f t="shared" si="53"/>
        <v>1393</v>
      </c>
      <c r="G207" s="41"/>
      <c r="H207" s="43"/>
      <c r="I207" s="43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3">
        <f t="shared" si="54"/>
        <v>0</v>
      </c>
      <c r="X207" s="41">
        <f t="shared" si="57"/>
        <v>1393</v>
      </c>
      <c r="Y207" s="80">
        <f t="shared" si="56"/>
        <v>16716</v>
      </c>
    </row>
    <row r="208" spans="1:26" ht="18" customHeight="1">
      <c r="A208" s="62"/>
      <c r="B208" s="63"/>
      <c r="C208" s="48">
        <f>SUM(C189:C207)</f>
        <v>277.5</v>
      </c>
      <c r="D208" s="48"/>
      <c r="E208" s="48"/>
      <c r="F208" s="47">
        <f>SUM(F189:F207)</f>
        <v>387676</v>
      </c>
      <c r="G208" s="47"/>
      <c r="H208" s="48">
        <f aca="true" t="shared" si="58" ref="H208:Z208">SUM(H189:H207)</f>
        <v>0</v>
      </c>
      <c r="I208" s="48">
        <f t="shared" si="58"/>
        <v>0</v>
      </c>
      <c r="J208" s="48">
        <f t="shared" si="58"/>
        <v>0</v>
      </c>
      <c r="K208" s="48">
        <f t="shared" si="58"/>
        <v>0</v>
      </c>
      <c r="L208" s="48">
        <f t="shared" si="58"/>
        <v>0</v>
      </c>
      <c r="M208" s="48">
        <f t="shared" si="58"/>
        <v>0</v>
      </c>
      <c r="N208" s="48">
        <f t="shared" si="58"/>
        <v>0</v>
      </c>
      <c r="O208" s="48">
        <f t="shared" si="58"/>
        <v>0</v>
      </c>
      <c r="P208" s="48">
        <f t="shared" si="58"/>
        <v>0</v>
      </c>
      <c r="Q208" s="48">
        <f t="shared" si="58"/>
        <v>0</v>
      </c>
      <c r="R208" s="48">
        <f t="shared" si="58"/>
        <v>0</v>
      </c>
      <c r="S208" s="48">
        <f t="shared" si="58"/>
        <v>0</v>
      </c>
      <c r="T208" s="48">
        <f t="shared" si="58"/>
        <v>13208</v>
      </c>
      <c r="U208" s="48">
        <f t="shared" si="58"/>
        <v>0</v>
      </c>
      <c r="V208" s="48">
        <f t="shared" si="58"/>
        <v>0</v>
      </c>
      <c r="W208" s="48">
        <f t="shared" si="58"/>
        <v>13208</v>
      </c>
      <c r="X208" s="47">
        <f t="shared" si="58"/>
        <v>400884</v>
      </c>
      <c r="Y208" s="47">
        <f t="shared" si="58"/>
        <v>4810608</v>
      </c>
      <c r="Z208" s="48">
        <f t="shared" si="58"/>
        <v>0</v>
      </c>
    </row>
    <row r="209" spans="1:25" ht="32.25" customHeight="1">
      <c r="A209" s="290" t="s">
        <v>148</v>
      </c>
      <c r="B209" s="291"/>
      <c r="C209" s="291"/>
      <c r="D209" s="291"/>
      <c r="E209" s="291"/>
      <c r="F209" s="291"/>
      <c r="G209" s="291"/>
      <c r="H209" s="291"/>
      <c r="I209" s="291"/>
      <c r="J209" s="291"/>
      <c r="K209" s="291"/>
      <c r="L209" s="291"/>
      <c r="M209" s="291"/>
      <c r="N209" s="291"/>
      <c r="O209" s="291"/>
      <c r="P209" s="291"/>
      <c r="Q209" s="291"/>
      <c r="R209" s="291"/>
      <c r="S209" s="291"/>
      <c r="T209" s="291"/>
      <c r="U209" s="291"/>
      <c r="V209" s="291"/>
      <c r="W209" s="291"/>
      <c r="X209" s="292"/>
      <c r="Y209" s="48"/>
    </row>
    <row r="210" spans="1:25" ht="19.5" customHeight="1">
      <c r="A210" s="62">
        <v>1</v>
      </c>
      <c r="B210" s="63" t="s">
        <v>84</v>
      </c>
      <c r="C210" s="65">
        <v>1</v>
      </c>
      <c r="D210" s="65">
        <v>12</v>
      </c>
      <c r="E210" s="40">
        <v>2360</v>
      </c>
      <c r="F210" s="41">
        <f aca="true" t="shared" si="59" ref="F210:F216">E210*C210</f>
        <v>2360</v>
      </c>
      <c r="G210" s="41"/>
      <c r="H210" s="43"/>
      <c r="I210" s="43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3">
        <f aca="true" t="shared" si="60" ref="W210:W216">SUM(H210:V210)</f>
        <v>0</v>
      </c>
      <c r="X210" s="41">
        <f aca="true" t="shared" si="61" ref="X210:X216">C210*E210+W210</f>
        <v>2360</v>
      </c>
      <c r="Y210" s="41">
        <f aca="true" t="shared" si="62" ref="Y210:Y216">X210*12</f>
        <v>28320</v>
      </c>
    </row>
    <row r="211" spans="1:25" ht="19.5" customHeight="1">
      <c r="A211" s="62">
        <v>2</v>
      </c>
      <c r="B211" s="38" t="s">
        <v>89</v>
      </c>
      <c r="C211" s="37">
        <v>1</v>
      </c>
      <c r="D211" s="37"/>
      <c r="E211" s="62">
        <v>2124</v>
      </c>
      <c r="F211" s="80">
        <f t="shared" si="59"/>
        <v>2124</v>
      </c>
      <c r="G211" s="80"/>
      <c r="H211" s="43"/>
      <c r="I211" s="43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3">
        <f t="shared" si="60"/>
        <v>0</v>
      </c>
      <c r="X211" s="41">
        <f t="shared" si="61"/>
        <v>2124</v>
      </c>
      <c r="Y211" s="41">
        <f t="shared" si="62"/>
        <v>25488</v>
      </c>
    </row>
    <row r="212" spans="1:25" ht="19.5" customHeight="1">
      <c r="A212" s="62">
        <v>3</v>
      </c>
      <c r="B212" s="63" t="s">
        <v>64</v>
      </c>
      <c r="C212" s="65">
        <f>3.5+1</f>
        <v>4.5</v>
      </c>
      <c r="D212" s="65">
        <v>10</v>
      </c>
      <c r="E212" s="40">
        <v>2026</v>
      </c>
      <c r="F212" s="41">
        <f t="shared" si="59"/>
        <v>9117</v>
      </c>
      <c r="G212" s="41"/>
      <c r="H212" s="43"/>
      <c r="I212" s="43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3">
        <f t="shared" si="60"/>
        <v>0</v>
      </c>
      <c r="X212" s="41">
        <f t="shared" si="61"/>
        <v>9117</v>
      </c>
      <c r="Y212" s="41">
        <f t="shared" si="62"/>
        <v>109404</v>
      </c>
    </row>
    <row r="213" spans="1:25" ht="27.75" customHeight="1">
      <c r="A213" s="62">
        <v>4</v>
      </c>
      <c r="B213" s="63" t="s">
        <v>119</v>
      </c>
      <c r="C213" s="65">
        <v>1</v>
      </c>
      <c r="D213" s="65">
        <v>9</v>
      </c>
      <c r="E213" s="40">
        <v>1925</v>
      </c>
      <c r="F213" s="41">
        <f t="shared" si="59"/>
        <v>1925</v>
      </c>
      <c r="G213" s="41"/>
      <c r="H213" s="43"/>
      <c r="I213" s="43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>
        <f t="shared" si="60"/>
        <v>0</v>
      </c>
      <c r="X213" s="41">
        <f t="shared" si="61"/>
        <v>1925</v>
      </c>
      <c r="Y213" s="41">
        <f t="shared" si="62"/>
        <v>23100</v>
      </c>
    </row>
    <row r="214" spans="1:25" ht="19.5" customHeight="1">
      <c r="A214" s="62">
        <v>5</v>
      </c>
      <c r="B214" s="63" t="s">
        <v>65</v>
      </c>
      <c r="C214" s="65">
        <v>18</v>
      </c>
      <c r="D214" s="65">
        <v>9</v>
      </c>
      <c r="E214" s="40">
        <v>1925</v>
      </c>
      <c r="F214" s="41">
        <f t="shared" si="59"/>
        <v>34650</v>
      </c>
      <c r="G214" s="41"/>
      <c r="H214" s="43"/>
      <c r="I214" s="43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3">
        <f t="shared" si="60"/>
        <v>0</v>
      </c>
      <c r="X214" s="41">
        <f t="shared" si="61"/>
        <v>34650</v>
      </c>
      <c r="Y214" s="41">
        <f t="shared" si="62"/>
        <v>415800</v>
      </c>
    </row>
    <row r="215" spans="1:25" ht="27.75" customHeight="1">
      <c r="A215" s="62">
        <v>7</v>
      </c>
      <c r="B215" s="63" t="s">
        <v>67</v>
      </c>
      <c r="C215" s="65">
        <v>1</v>
      </c>
      <c r="D215" s="65">
        <v>7</v>
      </c>
      <c r="E215" s="40">
        <v>1714</v>
      </c>
      <c r="F215" s="41">
        <f t="shared" si="59"/>
        <v>1714</v>
      </c>
      <c r="G215" s="41"/>
      <c r="H215" s="43"/>
      <c r="I215" s="43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>
        <f t="shared" si="60"/>
        <v>0</v>
      </c>
      <c r="X215" s="41">
        <f t="shared" si="61"/>
        <v>1714</v>
      </c>
      <c r="Y215" s="41">
        <f t="shared" si="62"/>
        <v>20568</v>
      </c>
    </row>
    <row r="216" spans="1:25" ht="27.75" customHeight="1">
      <c r="A216" s="62">
        <v>8</v>
      </c>
      <c r="B216" s="38" t="s">
        <v>149</v>
      </c>
      <c r="C216" s="65">
        <v>1</v>
      </c>
      <c r="D216" s="65">
        <v>5</v>
      </c>
      <c r="E216" s="40">
        <v>1514</v>
      </c>
      <c r="F216" s="41">
        <f t="shared" si="59"/>
        <v>1514</v>
      </c>
      <c r="G216" s="41"/>
      <c r="H216" s="43"/>
      <c r="I216" s="43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>
        <f t="shared" si="60"/>
        <v>0</v>
      </c>
      <c r="X216" s="41">
        <f t="shared" si="61"/>
        <v>1514</v>
      </c>
      <c r="Y216" s="41">
        <f t="shared" si="62"/>
        <v>18168</v>
      </c>
    </row>
    <row r="217" spans="1:25" ht="19.5" customHeight="1">
      <c r="A217" s="62"/>
      <c r="B217" s="63"/>
      <c r="C217" s="83">
        <f>SUM(C210:C216)</f>
        <v>27.5</v>
      </c>
      <c r="D217" s="83"/>
      <c r="E217" s="83"/>
      <c r="F217" s="84">
        <f>SUM(F210:F216)</f>
        <v>53404</v>
      </c>
      <c r="G217" s="84"/>
      <c r="H217" s="84">
        <f aca="true" t="shared" si="63" ref="H217:Y217">SUM(H210:H216)</f>
        <v>0</v>
      </c>
      <c r="I217" s="84">
        <f t="shared" si="63"/>
        <v>0</v>
      </c>
      <c r="J217" s="84">
        <f t="shared" si="63"/>
        <v>0</v>
      </c>
      <c r="K217" s="84">
        <f t="shared" si="63"/>
        <v>0</v>
      </c>
      <c r="L217" s="84">
        <f t="shared" si="63"/>
        <v>0</v>
      </c>
      <c r="M217" s="84">
        <f t="shared" si="63"/>
        <v>0</v>
      </c>
      <c r="N217" s="84">
        <f t="shared" si="63"/>
        <v>0</v>
      </c>
      <c r="O217" s="84">
        <f t="shared" si="63"/>
        <v>0</v>
      </c>
      <c r="P217" s="84">
        <f t="shared" si="63"/>
        <v>0</v>
      </c>
      <c r="Q217" s="84">
        <f t="shared" si="63"/>
        <v>0</v>
      </c>
      <c r="R217" s="84">
        <f t="shared" si="63"/>
        <v>0</v>
      </c>
      <c r="S217" s="84">
        <f t="shared" si="63"/>
        <v>0</v>
      </c>
      <c r="T217" s="84">
        <f t="shared" si="63"/>
        <v>0</v>
      </c>
      <c r="U217" s="84">
        <f t="shared" si="63"/>
        <v>0</v>
      </c>
      <c r="V217" s="84">
        <f t="shared" si="63"/>
        <v>0</v>
      </c>
      <c r="W217" s="84">
        <f t="shared" si="63"/>
        <v>0</v>
      </c>
      <c r="X217" s="84">
        <f t="shared" si="63"/>
        <v>53404</v>
      </c>
      <c r="Y217" s="84">
        <f t="shared" si="63"/>
        <v>640848</v>
      </c>
    </row>
    <row r="218" spans="1:25" ht="24.75" customHeight="1">
      <c r="A218" s="290" t="s">
        <v>150</v>
      </c>
      <c r="B218" s="291"/>
      <c r="C218" s="291"/>
      <c r="D218" s="291"/>
      <c r="E218" s="291"/>
      <c r="F218" s="291"/>
      <c r="G218" s="291"/>
      <c r="H218" s="291"/>
      <c r="I218" s="291"/>
      <c r="J218" s="291"/>
      <c r="K218" s="291"/>
      <c r="L218" s="291"/>
      <c r="M218" s="291"/>
      <c r="N218" s="291"/>
      <c r="O218" s="291"/>
      <c r="P218" s="291"/>
      <c r="Q218" s="291"/>
      <c r="R218" s="291"/>
      <c r="S218" s="291"/>
      <c r="T218" s="291"/>
      <c r="U218" s="291"/>
      <c r="V218" s="291"/>
      <c r="W218" s="291"/>
      <c r="X218" s="292"/>
      <c r="Y218" s="62"/>
    </row>
    <row r="219" spans="1:25" ht="24.75" customHeight="1">
      <c r="A219" s="62">
        <v>1</v>
      </c>
      <c r="B219" s="108" t="s">
        <v>151</v>
      </c>
      <c r="C219" s="65">
        <v>1</v>
      </c>
      <c r="D219" s="94">
        <v>12</v>
      </c>
      <c r="E219" s="40">
        <v>2360</v>
      </c>
      <c r="F219" s="41">
        <f aca="true" t="shared" si="64" ref="F219:F226">E219*C219</f>
        <v>2360</v>
      </c>
      <c r="G219" s="41"/>
      <c r="H219" s="43"/>
      <c r="I219" s="43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3">
        <f aca="true" t="shared" si="65" ref="W219:W226">SUM(H219:V219)</f>
        <v>0</v>
      </c>
      <c r="X219" s="41">
        <f aca="true" t="shared" si="66" ref="X219:X226">C219*E219+W219</f>
        <v>2360</v>
      </c>
      <c r="Y219" s="80">
        <f aca="true" t="shared" si="67" ref="Y219:Y226">X219*12</f>
        <v>28320</v>
      </c>
    </row>
    <row r="220" spans="1:25" ht="24.75" customHeight="1">
      <c r="A220" s="62">
        <v>2</v>
      </c>
      <c r="B220" s="63" t="s">
        <v>136</v>
      </c>
      <c r="C220" s="65">
        <v>1</v>
      </c>
      <c r="D220" s="65">
        <v>5</v>
      </c>
      <c r="E220" s="40">
        <v>1514</v>
      </c>
      <c r="F220" s="41">
        <f t="shared" si="64"/>
        <v>1514</v>
      </c>
      <c r="G220" s="41"/>
      <c r="H220" s="43"/>
      <c r="I220" s="43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3">
        <f t="shared" si="65"/>
        <v>0</v>
      </c>
      <c r="X220" s="41">
        <f t="shared" si="66"/>
        <v>1514</v>
      </c>
      <c r="Y220" s="80">
        <f t="shared" si="67"/>
        <v>18168</v>
      </c>
    </row>
    <row r="221" spans="1:25" ht="24.75" customHeight="1">
      <c r="A221" s="62">
        <v>3</v>
      </c>
      <c r="B221" s="63" t="s">
        <v>152</v>
      </c>
      <c r="C221" s="65">
        <v>1</v>
      </c>
      <c r="D221" s="65">
        <v>3</v>
      </c>
      <c r="E221" s="40">
        <v>1393</v>
      </c>
      <c r="F221" s="41">
        <f t="shared" si="64"/>
        <v>1393</v>
      </c>
      <c r="G221" s="41"/>
      <c r="H221" s="43"/>
      <c r="I221" s="43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3">
        <f t="shared" si="65"/>
        <v>0</v>
      </c>
      <c r="X221" s="41">
        <f t="shared" si="66"/>
        <v>1393</v>
      </c>
      <c r="Y221" s="80">
        <f t="shared" si="67"/>
        <v>16716</v>
      </c>
    </row>
    <row r="222" spans="1:25" ht="24.75" customHeight="1">
      <c r="A222" s="62">
        <v>4</v>
      </c>
      <c r="B222" s="63" t="s">
        <v>137</v>
      </c>
      <c r="C222" s="65">
        <v>1</v>
      </c>
      <c r="D222" s="65">
        <v>2</v>
      </c>
      <c r="E222" s="40">
        <v>1383</v>
      </c>
      <c r="F222" s="41">
        <f t="shared" si="64"/>
        <v>1383</v>
      </c>
      <c r="G222" s="41"/>
      <c r="H222" s="43"/>
      <c r="I222" s="43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3">
        <f t="shared" si="65"/>
        <v>0</v>
      </c>
      <c r="X222" s="41">
        <f t="shared" si="66"/>
        <v>1383</v>
      </c>
      <c r="Y222" s="80">
        <f t="shared" si="67"/>
        <v>16596</v>
      </c>
    </row>
    <row r="223" spans="1:25" ht="24.75" customHeight="1">
      <c r="A223" s="62">
        <v>5</v>
      </c>
      <c r="B223" s="63" t="s">
        <v>139</v>
      </c>
      <c r="C223" s="65">
        <v>1</v>
      </c>
      <c r="D223" s="65">
        <v>1</v>
      </c>
      <c r="E223" s="40">
        <v>1378</v>
      </c>
      <c r="F223" s="41">
        <f t="shared" si="64"/>
        <v>1378</v>
      </c>
      <c r="G223" s="41"/>
      <c r="H223" s="43"/>
      <c r="I223" s="43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3">
        <f t="shared" si="65"/>
        <v>0</v>
      </c>
      <c r="X223" s="41">
        <f t="shared" si="66"/>
        <v>1378</v>
      </c>
      <c r="Y223" s="80">
        <f t="shared" si="67"/>
        <v>16536</v>
      </c>
    </row>
    <row r="224" spans="1:25" ht="24.75" customHeight="1">
      <c r="A224" s="62">
        <v>6</v>
      </c>
      <c r="B224" s="63" t="s">
        <v>144</v>
      </c>
      <c r="C224" s="65">
        <v>1</v>
      </c>
      <c r="D224" s="65">
        <v>1</v>
      </c>
      <c r="E224" s="40">
        <v>1378</v>
      </c>
      <c r="F224" s="41">
        <f t="shared" si="64"/>
        <v>1378</v>
      </c>
      <c r="G224" s="41"/>
      <c r="H224" s="43"/>
      <c r="I224" s="43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3">
        <f t="shared" si="65"/>
        <v>0</v>
      </c>
      <c r="X224" s="41">
        <f t="shared" si="66"/>
        <v>1378</v>
      </c>
      <c r="Y224" s="80">
        <f t="shared" si="67"/>
        <v>16536</v>
      </c>
    </row>
    <row r="225" spans="1:25" ht="24.75" customHeight="1">
      <c r="A225" s="62">
        <v>7</v>
      </c>
      <c r="B225" s="63" t="s">
        <v>153</v>
      </c>
      <c r="C225" s="65">
        <v>5</v>
      </c>
      <c r="D225" s="65">
        <v>3</v>
      </c>
      <c r="E225" s="40">
        <v>1393</v>
      </c>
      <c r="F225" s="41">
        <f t="shared" si="64"/>
        <v>6965</v>
      </c>
      <c r="G225" s="41"/>
      <c r="H225" s="43"/>
      <c r="I225" s="43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3">
        <f t="shared" si="65"/>
        <v>0</v>
      </c>
      <c r="X225" s="41">
        <f t="shared" si="66"/>
        <v>6965</v>
      </c>
      <c r="Y225" s="80">
        <f t="shared" si="67"/>
        <v>83580</v>
      </c>
    </row>
    <row r="226" spans="1:25" ht="24.75" customHeight="1">
      <c r="A226" s="62">
        <v>8</v>
      </c>
      <c r="B226" s="63" t="s">
        <v>154</v>
      </c>
      <c r="C226" s="65">
        <v>1</v>
      </c>
      <c r="D226" s="65">
        <v>4</v>
      </c>
      <c r="E226" s="40">
        <v>1414</v>
      </c>
      <c r="F226" s="41">
        <f t="shared" si="64"/>
        <v>1414</v>
      </c>
      <c r="G226" s="41"/>
      <c r="H226" s="43"/>
      <c r="I226" s="43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3">
        <f t="shared" si="65"/>
        <v>0</v>
      </c>
      <c r="X226" s="41">
        <f t="shared" si="66"/>
        <v>1414</v>
      </c>
      <c r="Y226" s="80">
        <f t="shared" si="67"/>
        <v>16968</v>
      </c>
    </row>
    <row r="227" spans="1:25" ht="24.75" customHeight="1">
      <c r="A227" s="62"/>
      <c r="B227" s="63"/>
      <c r="C227" s="48">
        <f>SUM(C219:C226)</f>
        <v>12</v>
      </c>
      <c r="D227" s="48"/>
      <c r="E227" s="48"/>
      <c r="F227" s="47">
        <f>SUM(F219:F226)</f>
        <v>17785</v>
      </c>
      <c r="G227" s="47"/>
      <c r="H227" s="107">
        <f aca="true" t="shared" si="68" ref="H227:Y227">SUM(H219:H226)</f>
        <v>0</v>
      </c>
      <c r="I227" s="107">
        <f t="shared" si="68"/>
        <v>0</v>
      </c>
      <c r="J227" s="107">
        <f t="shared" si="68"/>
        <v>0</v>
      </c>
      <c r="K227" s="107">
        <f t="shared" si="68"/>
        <v>0</v>
      </c>
      <c r="L227" s="107">
        <f t="shared" si="68"/>
        <v>0</v>
      </c>
      <c r="M227" s="107">
        <f t="shared" si="68"/>
        <v>0</v>
      </c>
      <c r="N227" s="107">
        <f t="shared" si="68"/>
        <v>0</v>
      </c>
      <c r="O227" s="107">
        <f t="shared" si="68"/>
        <v>0</v>
      </c>
      <c r="P227" s="107">
        <f t="shared" si="68"/>
        <v>0</v>
      </c>
      <c r="Q227" s="107">
        <f t="shared" si="68"/>
        <v>0</v>
      </c>
      <c r="R227" s="107">
        <f t="shared" si="68"/>
        <v>0</v>
      </c>
      <c r="S227" s="107">
        <f t="shared" si="68"/>
        <v>0</v>
      </c>
      <c r="T227" s="107">
        <f t="shared" si="68"/>
        <v>0</v>
      </c>
      <c r="U227" s="107">
        <f t="shared" si="68"/>
        <v>0</v>
      </c>
      <c r="V227" s="107">
        <f t="shared" si="68"/>
        <v>0</v>
      </c>
      <c r="W227" s="107">
        <f t="shared" si="68"/>
        <v>0</v>
      </c>
      <c r="X227" s="47">
        <f t="shared" si="68"/>
        <v>17785</v>
      </c>
      <c r="Y227" s="47">
        <f t="shared" si="68"/>
        <v>213420</v>
      </c>
    </row>
    <row r="228" spans="1:25" ht="21.75" customHeight="1">
      <c r="A228" s="290" t="s">
        <v>155</v>
      </c>
      <c r="B228" s="291"/>
      <c r="C228" s="291"/>
      <c r="D228" s="291"/>
      <c r="E228" s="291"/>
      <c r="F228" s="291"/>
      <c r="G228" s="291"/>
      <c r="H228" s="291"/>
      <c r="I228" s="291"/>
      <c r="J228" s="291"/>
      <c r="K228" s="291"/>
      <c r="L228" s="291"/>
      <c r="M228" s="291"/>
      <c r="N228" s="291"/>
      <c r="O228" s="291"/>
      <c r="P228" s="291"/>
      <c r="Q228" s="291"/>
      <c r="R228" s="291"/>
      <c r="S228" s="291"/>
      <c r="T228" s="291"/>
      <c r="U228" s="291"/>
      <c r="V228" s="291"/>
      <c r="W228" s="291"/>
      <c r="X228" s="292"/>
      <c r="Y228" s="62"/>
    </row>
    <row r="229" spans="1:25" ht="21.75" customHeight="1">
      <c r="A229" s="62">
        <v>1</v>
      </c>
      <c r="B229" s="63" t="s">
        <v>84</v>
      </c>
      <c r="C229" s="65">
        <v>1</v>
      </c>
      <c r="D229" s="65">
        <v>10</v>
      </c>
      <c r="E229" s="40">
        <v>2026</v>
      </c>
      <c r="F229" s="41">
        <f>E229*C229</f>
        <v>2026</v>
      </c>
      <c r="G229" s="41"/>
      <c r="H229" s="43"/>
      <c r="I229" s="43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3">
        <f>SUM(H229:V229)</f>
        <v>0</v>
      </c>
      <c r="X229" s="41">
        <f>C229*E229+W229</f>
        <v>2026</v>
      </c>
      <c r="Y229" s="80">
        <f>X229*12</f>
        <v>24312</v>
      </c>
    </row>
    <row r="230" spans="1:25" ht="21.75" customHeight="1">
      <c r="A230" s="62">
        <v>2</v>
      </c>
      <c r="B230" s="63" t="s">
        <v>65</v>
      </c>
      <c r="C230" s="65">
        <v>7</v>
      </c>
      <c r="D230" s="65">
        <v>9</v>
      </c>
      <c r="E230" s="40">
        <v>1925</v>
      </c>
      <c r="F230" s="41">
        <f>E230*C230</f>
        <v>13475</v>
      </c>
      <c r="G230" s="41"/>
      <c r="H230" s="43"/>
      <c r="I230" s="43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3">
        <f>SUM(H230:V230)</f>
        <v>0</v>
      </c>
      <c r="X230" s="41">
        <f>C230*E230+W230</f>
        <v>13475</v>
      </c>
      <c r="Y230" s="80">
        <f>X230*12</f>
        <v>161700</v>
      </c>
    </row>
    <row r="231" spans="1:25" ht="21.75" customHeight="1">
      <c r="A231" s="62">
        <v>3</v>
      </c>
      <c r="B231" s="63" t="s">
        <v>68</v>
      </c>
      <c r="C231" s="65">
        <v>12</v>
      </c>
      <c r="D231" s="65">
        <v>7</v>
      </c>
      <c r="E231" s="40">
        <v>1714</v>
      </c>
      <c r="F231" s="41">
        <f>E231*C231</f>
        <v>20568</v>
      </c>
      <c r="G231" s="41"/>
      <c r="H231" s="43"/>
      <c r="I231" s="43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3">
        <f>SUM(H231:V231)</f>
        <v>0</v>
      </c>
      <c r="X231" s="41">
        <f>C231*E231+W231</f>
        <v>20568</v>
      </c>
      <c r="Y231" s="80">
        <f>X231*12</f>
        <v>246816</v>
      </c>
    </row>
    <row r="232" spans="1:29" ht="21.75" customHeight="1">
      <c r="A232" s="62"/>
      <c r="B232" s="63"/>
      <c r="C232" s="83">
        <f>SUM(C229:C231)</f>
        <v>20</v>
      </c>
      <c r="D232" s="83"/>
      <c r="E232" s="83"/>
      <c r="F232" s="84">
        <f>SUM(F229:F231)</f>
        <v>36069</v>
      </c>
      <c r="G232" s="84"/>
      <c r="H232" s="91">
        <f aca="true" t="shared" si="69" ref="H232:AC232">SUM(H229:H231)</f>
        <v>0</v>
      </c>
      <c r="I232" s="91">
        <f t="shared" si="69"/>
        <v>0</v>
      </c>
      <c r="J232" s="91">
        <f t="shared" si="69"/>
        <v>0</v>
      </c>
      <c r="K232" s="91">
        <f t="shared" si="69"/>
        <v>0</v>
      </c>
      <c r="L232" s="91">
        <f t="shared" si="69"/>
        <v>0</v>
      </c>
      <c r="M232" s="91">
        <f t="shared" si="69"/>
        <v>0</v>
      </c>
      <c r="N232" s="91">
        <f t="shared" si="69"/>
        <v>0</v>
      </c>
      <c r="O232" s="91">
        <f t="shared" si="69"/>
        <v>0</v>
      </c>
      <c r="P232" s="91">
        <f t="shared" si="69"/>
        <v>0</v>
      </c>
      <c r="Q232" s="91">
        <f t="shared" si="69"/>
        <v>0</v>
      </c>
      <c r="R232" s="91">
        <f t="shared" si="69"/>
        <v>0</v>
      </c>
      <c r="S232" s="91">
        <f t="shared" si="69"/>
        <v>0</v>
      </c>
      <c r="T232" s="91">
        <f t="shared" si="69"/>
        <v>0</v>
      </c>
      <c r="U232" s="91">
        <f t="shared" si="69"/>
        <v>0</v>
      </c>
      <c r="V232" s="91">
        <f t="shared" si="69"/>
        <v>0</v>
      </c>
      <c r="W232" s="91">
        <f t="shared" si="69"/>
        <v>0</v>
      </c>
      <c r="X232" s="84">
        <f t="shared" si="69"/>
        <v>36069</v>
      </c>
      <c r="Y232" s="84">
        <f t="shared" si="69"/>
        <v>432828</v>
      </c>
      <c r="Z232" s="84">
        <f t="shared" si="69"/>
        <v>0</v>
      </c>
      <c r="AA232" s="84">
        <f t="shared" si="69"/>
        <v>0</v>
      </c>
      <c r="AB232" s="84">
        <f t="shared" si="69"/>
        <v>0</v>
      </c>
      <c r="AC232" s="84">
        <f t="shared" si="69"/>
        <v>0</v>
      </c>
    </row>
    <row r="233" spans="1:25" ht="21.75" customHeight="1">
      <c r="A233" s="290" t="s">
        <v>156</v>
      </c>
      <c r="B233" s="291"/>
      <c r="C233" s="291"/>
      <c r="D233" s="291"/>
      <c r="E233" s="291"/>
      <c r="F233" s="291"/>
      <c r="G233" s="291"/>
      <c r="H233" s="291"/>
      <c r="I233" s="291"/>
      <c r="J233" s="291"/>
      <c r="K233" s="291"/>
      <c r="L233" s="291"/>
      <c r="M233" s="291"/>
      <c r="N233" s="291"/>
      <c r="O233" s="291"/>
      <c r="P233" s="291"/>
      <c r="Q233" s="291"/>
      <c r="R233" s="291"/>
      <c r="S233" s="291"/>
      <c r="T233" s="291"/>
      <c r="U233" s="291"/>
      <c r="V233" s="291"/>
      <c r="W233" s="291"/>
      <c r="X233" s="291"/>
      <c r="Y233" s="292"/>
    </row>
    <row r="234" spans="1:25" ht="21.75" customHeight="1">
      <c r="A234" s="62">
        <v>1</v>
      </c>
      <c r="B234" s="63" t="s">
        <v>84</v>
      </c>
      <c r="C234" s="62">
        <v>1</v>
      </c>
      <c r="D234" s="62">
        <v>12</v>
      </c>
      <c r="E234" s="37">
        <v>2360</v>
      </c>
      <c r="F234" s="76">
        <f>E234*C234</f>
        <v>2360</v>
      </c>
      <c r="G234" s="76"/>
      <c r="H234" s="76"/>
      <c r="I234" s="42">
        <f>ROUNDUP(F234*20%,0)</f>
        <v>472</v>
      </c>
      <c r="J234" s="83"/>
      <c r="K234" s="83"/>
      <c r="L234" s="83"/>
      <c r="M234" s="83"/>
      <c r="N234" s="37">
        <f>ROUNDUP(F234*30%,0)</f>
        <v>708</v>
      </c>
      <c r="O234" s="83"/>
      <c r="P234" s="83"/>
      <c r="Q234" s="83"/>
      <c r="R234" s="83"/>
      <c r="S234" s="83"/>
      <c r="T234" s="83"/>
      <c r="U234" s="83"/>
      <c r="V234" s="83"/>
      <c r="W234" s="42">
        <f>SUM(H234:V234)</f>
        <v>1180</v>
      </c>
      <c r="X234" s="41">
        <f>C234*E234+W234</f>
        <v>3540</v>
      </c>
      <c r="Y234" s="80">
        <f>X234*12</f>
        <v>42480</v>
      </c>
    </row>
    <row r="235" spans="1:25" ht="21.75" customHeight="1">
      <c r="A235" s="62">
        <v>2</v>
      </c>
      <c r="B235" s="63" t="s">
        <v>65</v>
      </c>
      <c r="C235" s="62">
        <v>3</v>
      </c>
      <c r="D235" s="62">
        <v>9</v>
      </c>
      <c r="E235" s="37">
        <v>1925</v>
      </c>
      <c r="F235" s="76">
        <f>E235*C235</f>
        <v>5775</v>
      </c>
      <c r="G235" s="76"/>
      <c r="H235" s="76"/>
      <c r="I235" s="76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>
        <f>SUM(H235:V235)</f>
        <v>0</v>
      </c>
      <c r="X235" s="41">
        <f>C235*E235+W235</f>
        <v>5775</v>
      </c>
      <c r="Y235" s="80">
        <f>X235*12</f>
        <v>69300</v>
      </c>
    </row>
    <row r="236" spans="1:25" ht="21.75" customHeight="1">
      <c r="A236" s="62"/>
      <c r="B236" s="63"/>
      <c r="C236" s="83">
        <f>SUM(C234:C235)</f>
        <v>4</v>
      </c>
      <c r="D236" s="83"/>
      <c r="E236" s="83"/>
      <c r="F236" s="84">
        <f>SUM(F234:F235)</f>
        <v>8135</v>
      </c>
      <c r="G236" s="84"/>
      <c r="H236" s="83">
        <f aca="true" t="shared" si="70" ref="H236:V236">SUM(H234:H235)</f>
        <v>0</v>
      </c>
      <c r="I236" s="83">
        <f t="shared" si="70"/>
        <v>472</v>
      </c>
      <c r="J236" s="83">
        <f t="shared" si="70"/>
        <v>0</v>
      </c>
      <c r="K236" s="83">
        <f t="shared" si="70"/>
        <v>0</v>
      </c>
      <c r="L236" s="83">
        <f t="shared" si="70"/>
        <v>0</v>
      </c>
      <c r="M236" s="83">
        <f t="shared" si="70"/>
        <v>0</v>
      </c>
      <c r="N236" s="83">
        <f t="shared" si="70"/>
        <v>708</v>
      </c>
      <c r="O236" s="83">
        <f t="shared" si="70"/>
        <v>0</v>
      </c>
      <c r="P236" s="83">
        <f t="shared" si="70"/>
        <v>0</v>
      </c>
      <c r="Q236" s="83">
        <f t="shared" si="70"/>
        <v>0</v>
      </c>
      <c r="R236" s="83">
        <f t="shared" si="70"/>
        <v>0</v>
      </c>
      <c r="S236" s="83">
        <f t="shared" si="70"/>
        <v>0</v>
      </c>
      <c r="T236" s="83">
        <f t="shared" si="70"/>
        <v>0</v>
      </c>
      <c r="U236" s="83">
        <f t="shared" si="70"/>
        <v>0</v>
      </c>
      <c r="V236" s="83">
        <f t="shared" si="70"/>
        <v>0</v>
      </c>
      <c r="W236" s="77">
        <f>SUM(H236:V236)</f>
        <v>1180</v>
      </c>
      <c r="X236" s="47">
        <f>SUM(X234:X235)</f>
        <v>9315</v>
      </c>
      <c r="Y236" s="47">
        <f>SUM(Y234:Y235)</f>
        <v>111780</v>
      </c>
    </row>
    <row r="237" spans="1:25" ht="19.5" customHeight="1">
      <c r="A237" s="290" t="s">
        <v>157</v>
      </c>
      <c r="B237" s="291"/>
      <c r="C237" s="291"/>
      <c r="D237" s="291"/>
      <c r="E237" s="291"/>
      <c r="F237" s="291"/>
      <c r="G237" s="291"/>
      <c r="H237" s="291"/>
      <c r="I237" s="291"/>
      <c r="J237" s="291"/>
      <c r="K237" s="291"/>
      <c r="L237" s="291"/>
      <c r="M237" s="291"/>
      <c r="N237" s="291"/>
      <c r="O237" s="291"/>
      <c r="P237" s="291"/>
      <c r="Q237" s="291"/>
      <c r="R237" s="291"/>
      <c r="S237" s="291"/>
      <c r="T237" s="291"/>
      <c r="U237" s="291"/>
      <c r="V237" s="291"/>
      <c r="W237" s="291"/>
      <c r="X237" s="292"/>
      <c r="Y237" s="62"/>
    </row>
    <row r="238" spans="1:25" ht="19.5" customHeight="1">
      <c r="A238" s="62">
        <v>1</v>
      </c>
      <c r="B238" s="63" t="s">
        <v>84</v>
      </c>
      <c r="C238" s="65">
        <v>1</v>
      </c>
      <c r="D238" s="65">
        <v>12</v>
      </c>
      <c r="E238" s="40">
        <v>2360</v>
      </c>
      <c r="F238" s="41">
        <f aca="true" t="shared" si="71" ref="F238:F267">E238*C238</f>
        <v>2360</v>
      </c>
      <c r="G238" s="41"/>
      <c r="H238" s="43"/>
      <c r="I238" s="43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3">
        <f aca="true" t="shared" si="72" ref="W238:W267">SUM(H238:V238)</f>
        <v>0</v>
      </c>
      <c r="X238" s="41">
        <f aca="true" t="shared" si="73" ref="X238:X267">C238*E238+W238</f>
        <v>2360</v>
      </c>
      <c r="Y238" s="80">
        <f aca="true" t="shared" si="74" ref="Y238:Y267">X238*12</f>
        <v>28320</v>
      </c>
    </row>
    <row r="239" spans="1:25" ht="19.5" customHeight="1">
      <c r="A239" s="62">
        <v>2</v>
      </c>
      <c r="B239" s="63" t="s">
        <v>64</v>
      </c>
      <c r="C239" s="65">
        <f>1+1+1</f>
        <v>3</v>
      </c>
      <c r="D239" s="65">
        <v>10</v>
      </c>
      <c r="E239" s="40">
        <v>2026</v>
      </c>
      <c r="F239" s="41">
        <f t="shared" si="71"/>
        <v>6078</v>
      </c>
      <c r="G239" s="41"/>
      <c r="H239" s="43"/>
      <c r="I239" s="43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3">
        <f t="shared" si="72"/>
        <v>0</v>
      </c>
      <c r="X239" s="41">
        <f t="shared" si="73"/>
        <v>6078</v>
      </c>
      <c r="Y239" s="80">
        <f t="shared" si="74"/>
        <v>72936</v>
      </c>
    </row>
    <row r="240" spans="1:25" ht="19.5" customHeight="1">
      <c r="A240" s="62">
        <v>3</v>
      </c>
      <c r="B240" s="63" t="s">
        <v>65</v>
      </c>
      <c r="C240" s="65">
        <f>9+1-1</f>
        <v>9</v>
      </c>
      <c r="D240" s="65">
        <v>9</v>
      </c>
      <c r="E240" s="40">
        <v>1925</v>
      </c>
      <c r="F240" s="41">
        <f t="shared" si="71"/>
        <v>17325</v>
      </c>
      <c r="G240" s="41"/>
      <c r="H240" s="43"/>
      <c r="I240" s="43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3">
        <f t="shared" si="72"/>
        <v>0</v>
      </c>
      <c r="X240" s="41">
        <f t="shared" si="73"/>
        <v>17325</v>
      </c>
      <c r="Y240" s="80">
        <f t="shared" si="74"/>
        <v>207900</v>
      </c>
    </row>
    <row r="241" spans="1:25" ht="19.5" customHeight="1">
      <c r="A241" s="62">
        <v>4</v>
      </c>
      <c r="B241" s="63" t="s">
        <v>66</v>
      </c>
      <c r="C241" s="65">
        <f>1+2-1</f>
        <v>2</v>
      </c>
      <c r="D241" s="65">
        <v>8</v>
      </c>
      <c r="E241" s="40">
        <v>1825</v>
      </c>
      <c r="F241" s="41">
        <f t="shared" si="71"/>
        <v>3650</v>
      </c>
      <c r="G241" s="41"/>
      <c r="H241" s="43"/>
      <c r="I241" s="43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3">
        <f t="shared" si="72"/>
        <v>0</v>
      </c>
      <c r="X241" s="41">
        <f t="shared" si="73"/>
        <v>3650</v>
      </c>
      <c r="Y241" s="80">
        <f t="shared" si="74"/>
        <v>43800</v>
      </c>
    </row>
    <row r="242" spans="1:25" ht="19.5" customHeight="1">
      <c r="A242" s="62">
        <v>5</v>
      </c>
      <c r="B242" s="63" t="s">
        <v>85</v>
      </c>
      <c r="C242" s="65">
        <f>6-1</f>
        <v>5</v>
      </c>
      <c r="D242" s="65">
        <v>7</v>
      </c>
      <c r="E242" s="40">
        <v>1714</v>
      </c>
      <c r="F242" s="41">
        <f t="shared" si="71"/>
        <v>8570</v>
      </c>
      <c r="G242" s="41"/>
      <c r="H242" s="43"/>
      <c r="I242" s="43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3">
        <f t="shared" si="72"/>
        <v>0</v>
      </c>
      <c r="X242" s="41">
        <f t="shared" si="73"/>
        <v>8570</v>
      </c>
      <c r="Y242" s="80">
        <f t="shared" si="74"/>
        <v>102840</v>
      </c>
    </row>
    <row r="243" spans="1:25" ht="19.5" customHeight="1">
      <c r="A243" s="62">
        <v>6</v>
      </c>
      <c r="B243" s="63" t="s">
        <v>68</v>
      </c>
      <c r="C243" s="65">
        <v>1</v>
      </c>
      <c r="D243" s="65">
        <v>7</v>
      </c>
      <c r="E243" s="40">
        <v>1714</v>
      </c>
      <c r="F243" s="41">
        <f t="shared" si="71"/>
        <v>1714</v>
      </c>
      <c r="G243" s="41"/>
      <c r="H243" s="43"/>
      <c r="I243" s="43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3">
        <f t="shared" si="72"/>
        <v>0</v>
      </c>
      <c r="X243" s="41">
        <f t="shared" si="73"/>
        <v>1714</v>
      </c>
      <c r="Y243" s="80">
        <f t="shared" si="74"/>
        <v>20568</v>
      </c>
    </row>
    <row r="244" spans="1:25" ht="19.5" customHeight="1">
      <c r="A244" s="62">
        <v>7</v>
      </c>
      <c r="B244" s="63" t="s">
        <v>136</v>
      </c>
      <c r="C244" s="65">
        <v>4</v>
      </c>
      <c r="D244" s="65">
        <v>5</v>
      </c>
      <c r="E244" s="40">
        <v>1514</v>
      </c>
      <c r="F244" s="41">
        <f t="shared" si="71"/>
        <v>6056</v>
      </c>
      <c r="G244" s="41"/>
      <c r="H244" s="43"/>
      <c r="I244" s="43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3">
        <f t="shared" si="72"/>
        <v>0</v>
      </c>
      <c r="X244" s="41">
        <f t="shared" si="73"/>
        <v>6056</v>
      </c>
      <c r="Y244" s="80">
        <f t="shared" si="74"/>
        <v>72672</v>
      </c>
    </row>
    <row r="245" spans="1:25" ht="19.5" customHeight="1">
      <c r="A245" s="62">
        <v>8</v>
      </c>
      <c r="B245" s="63" t="s">
        <v>158</v>
      </c>
      <c r="C245" s="65">
        <f>31.5-1.5+7+4-8</f>
        <v>33</v>
      </c>
      <c r="D245" s="65">
        <v>5</v>
      </c>
      <c r="E245" s="40">
        <v>1514</v>
      </c>
      <c r="F245" s="41">
        <f t="shared" si="71"/>
        <v>49962</v>
      </c>
      <c r="G245" s="41"/>
      <c r="H245" s="43"/>
      <c r="I245" s="43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3">
        <f t="shared" si="72"/>
        <v>0</v>
      </c>
      <c r="X245" s="41">
        <f t="shared" si="73"/>
        <v>49962</v>
      </c>
      <c r="Y245" s="80">
        <f t="shared" si="74"/>
        <v>599544</v>
      </c>
    </row>
    <row r="246" spans="1:25" ht="19.5" customHeight="1">
      <c r="A246" s="62">
        <v>9</v>
      </c>
      <c r="B246" s="63" t="s">
        <v>159</v>
      </c>
      <c r="C246" s="65">
        <f>36-1-12.5+5+2</f>
        <v>29.5</v>
      </c>
      <c r="D246" s="65">
        <v>4</v>
      </c>
      <c r="E246" s="40">
        <v>1414</v>
      </c>
      <c r="F246" s="41">
        <f t="shared" si="71"/>
        <v>41713</v>
      </c>
      <c r="G246" s="41"/>
      <c r="H246" s="43"/>
      <c r="I246" s="43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3">
        <f t="shared" si="72"/>
        <v>0</v>
      </c>
      <c r="X246" s="41">
        <f t="shared" si="73"/>
        <v>41713</v>
      </c>
      <c r="Y246" s="80">
        <f t="shared" si="74"/>
        <v>500556</v>
      </c>
    </row>
    <row r="247" spans="1:25" ht="19.5" customHeight="1">
      <c r="A247" s="62">
        <v>10</v>
      </c>
      <c r="B247" s="63" t="s">
        <v>160</v>
      </c>
      <c r="C247" s="65">
        <v>13</v>
      </c>
      <c r="D247" s="65">
        <v>3</v>
      </c>
      <c r="E247" s="40">
        <v>1393</v>
      </c>
      <c r="F247" s="41">
        <f t="shared" si="71"/>
        <v>18109</v>
      </c>
      <c r="G247" s="41"/>
      <c r="H247" s="43"/>
      <c r="I247" s="43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3">
        <f t="shared" si="72"/>
        <v>0</v>
      </c>
      <c r="X247" s="41">
        <f t="shared" si="73"/>
        <v>18109</v>
      </c>
      <c r="Y247" s="80">
        <f t="shared" si="74"/>
        <v>217308</v>
      </c>
    </row>
    <row r="248" spans="1:25" ht="19.5" customHeight="1">
      <c r="A248" s="62">
        <v>11</v>
      </c>
      <c r="B248" s="63" t="s">
        <v>161</v>
      </c>
      <c r="C248" s="65">
        <f>1+6-3</f>
        <v>4</v>
      </c>
      <c r="D248" s="65">
        <v>3</v>
      </c>
      <c r="E248" s="40">
        <v>1393</v>
      </c>
      <c r="F248" s="41">
        <f t="shared" si="71"/>
        <v>5572</v>
      </c>
      <c r="G248" s="41"/>
      <c r="H248" s="43"/>
      <c r="I248" s="43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3">
        <f t="shared" si="72"/>
        <v>0</v>
      </c>
      <c r="X248" s="41">
        <f t="shared" si="73"/>
        <v>5572</v>
      </c>
      <c r="Y248" s="80">
        <f t="shared" si="74"/>
        <v>66864</v>
      </c>
    </row>
    <row r="249" spans="1:25" ht="19.5" customHeight="1">
      <c r="A249" s="62">
        <v>12</v>
      </c>
      <c r="B249" s="63" t="s">
        <v>162</v>
      </c>
      <c r="C249" s="65">
        <v>1</v>
      </c>
      <c r="D249" s="65">
        <v>5</v>
      </c>
      <c r="E249" s="40">
        <v>1514</v>
      </c>
      <c r="F249" s="41">
        <f t="shared" si="71"/>
        <v>1514</v>
      </c>
      <c r="G249" s="41"/>
      <c r="H249" s="43"/>
      <c r="I249" s="43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3">
        <f t="shared" si="72"/>
        <v>0</v>
      </c>
      <c r="X249" s="41">
        <f t="shared" si="73"/>
        <v>1514</v>
      </c>
      <c r="Y249" s="80">
        <f t="shared" si="74"/>
        <v>18168</v>
      </c>
    </row>
    <row r="250" spans="1:25" ht="19.5" customHeight="1">
      <c r="A250" s="62">
        <v>13</v>
      </c>
      <c r="B250" s="63" t="s">
        <v>163</v>
      </c>
      <c r="C250" s="65">
        <f>4-1.5+2</f>
        <v>4.5</v>
      </c>
      <c r="D250" s="65">
        <v>4</v>
      </c>
      <c r="E250" s="40">
        <v>1414</v>
      </c>
      <c r="F250" s="41">
        <f t="shared" si="71"/>
        <v>6363</v>
      </c>
      <c r="G250" s="41"/>
      <c r="H250" s="43"/>
      <c r="I250" s="43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3">
        <f t="shared" si="72"/>
        <v>0</v>
      </c>
      <c r="X250" s="41">
        <f t="shared" si="73"/>
        <v>6363</v>
      </c>
      <c r="Y250" s="80">
        <f t="shared" si="74"/>
        <v>76356</v>
      </c>
    </row>
    <row r="251" spans="1:25" ht="19.5" customHeight="1">
      <c r="A251" s="62">
        <v>14</v>
      </c>
      <c r="B251" s="63" t="s">
        <v>164</v>
      </c>
      <c r="C251" s="65">
        <v>0.5</v>
      </c>
      <c r="D251" s="65">
        <v>3</v>
      </c>
      <c r="E251" s="40">
        <v>1393</v>
      </c>
      <c r="F251" s="41">
        <f t="shared" si="71"/>
        <v>696.5</v>
      </c>
      <c r="G251" s="41"/>
      <c r="H251" s="43"/>
      <c r="I251" s="43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3">
        <f t="shared" si="72"/>
        <v>0</v>
      </c>
      <c r="X251" s="41">
        <f t="shared" si="73"/>
        <v>696.5</v>
      </c>
      <c r="Y251" s="80">
        <f t="shared" si="74"/>
        <v>8358</v>
      </c>
    </row>
    <row r="252" spans="1:25" ht="19.5" customHeight="1">
      <c r="A252" s="62">
        <v>15</v>
      </c>
      <c r="B252" s="63" t="s">
        <v>140</v>
      </c>
      <c r="C252" s="65">
        <v>7</v>
      </c>
      <c r="D252" s="65">
        <v>5</v>
      </c>
      <c r="E252" s="40">
        <v>1514</v>
      </c>
      <c r="F252" s="41">
        <f t="shared" si="71"/>
        <v>10598</v>
      </c>
      <c r="G252" s="41"/>
      <c r="H252" s="43"/>
      <c r="I252" s="43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3">
        <f t="shared" si="72"/>
        <v>0</v>
      </c>
      <c r="X252" s="41">
        <f t="shared" si="73"/>
        <v>10598</v>
      </c>
      <c r="Y252" s="80">
        <f t="shared" si="74"/>
        <v>127176</v>
      </c>
    </row>
    <row r="253" spans="1:25" ht="19.5" customHeight="1">
      <c r="A253" s="62">
        <v>16</v>
      </c>
      <c r="B253" s="63" t="s">
        <v>141</v>
      </c>
      <c r="C253" s="65">
        <v>5</v>
      </c>
      <c r="D253" s="65">
        <v>4</v>
      </c>
      <c r="E253" s="40">
        <v>1414</v>
      </c>
      <c r="F253" s="41">
        <f t="shared" si="71"/>
        <v>7070</v>
      </c>
      <c r="G253" s="41"/>
      <c r="H253" s="43"/>
      <c r="I253" s="43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3">
        <f t="shared" si="72"/>
        <v>0</v>
      </c>
      <c r="X253" s="41">
        <f t="shared" si="73"/>
        <v>7070</v>
      </c>
      <c r="Y253" s="80">
        <f t="shared" si="74"/>
        <v>84840</v>
      </c>
    </row>
    <row r="254" spans="1:25" ht="19.5" customHeight="1">
      <c r="A254" s="62">
        <v>17</v>
      </c>
      <c r="B254" s="63" t="s">
        <v>165</v>
      </c>
      <c r="C254" s="65">
        <f>8-3</f>
        <v>5</v>
      </c>
      <c r="D254" s="65">
        <v>3</v>
      </c>
      <c r="E254" s="40">
        <v>1393</v>
      </c>
      <c r="F254" s="41">
        <f t="shared" si="71"/>
        <v>6965</v>
      </c>
      <c r="G254" s="41"/>
      <c r="H254" s="43"/>
      <c r="I254" s="43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3">
        <f t="shared" si="72"/>
        <v>0</v>
      </c>
      <c r="X254" s="41">
        <f t="shared" si="73"/>
        <v>6965</v>
      </c>
      <c r="Y254" s="80">
        <f t="shared" si="74"/>
        <v>83580</v>
      </c>
    </row>
    <row r="255" spans="1:25" ht="25.5" customHeight="1">
      <c r="A255" s="62">
        <v>18</v>
      </c>
      <c r="B255" s="108" t="s">
        <v>166</v>
      </c>
      <c r="C255" s="65">
        <f>11-1</f>
        <v>10</v>
      </c>
      <c r="D255" s="94">
        <v>5</v>
      </c>
      <c r="E255" s="40">
        <v>1514</v>
      </c>
      <c r="F255" s="41">
        <f t="shared" si="71"/>
        <v>15140</v>
      </c>
      <c r="G255" s="41"/>
      <c r="H255" s="43"/>
      <c r="I255" s="43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3">
        <f t="shared" si="72"/>
        <v>0</v>
      </c>
      <c r="X255" s="41">
        <f t="shared" si="73"/>
        <v>15140</v>
      </c>
      <c r="Y255" s="80">
        <f t="shared" si="74"/>
        <v>181680</v>
      </c>
    </row>
    <row r="256" spans="1:25" ht="25.5" customHeight="1">
      <c r="A256" s="62">
        <v>19</v>
      </c>
      <c r="B256" s="108" t="s">
        <v>167</v>
      </c>
      <c r="C256" s="65">
        <v>1</v>
      </c>
      <c r="D256" s="65">
        <v>4</v>
      </c>
      <c r="E256" s="40">
        <v>1414</v>
      </c>
      <c r="F256" s="41">
        <f t="shared" si="71"/>
        <v>1414</v>
      </c>
      <c r="G256" s="41"/>
      <c r="H256" s="43"/>
      <c r="I256" s="43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3">
        <f t="shared" si="72"/>
        <v>0</v>
      </c>
      <c r="X256" s="41">
        <f t="shared" si="73"/>
        <v>1414</v>
      </c>
      <c r="Y256" s="80">
        <f t="shared" si="74"/>
        <v>16968</v>
      </c>
    </row>
    <row r="257" spans="1:25" ht="19.5" customHeight="1">
      <c r="A257" s="62">
        <v>20</v>
      </c>
      <c r="B257" s="63" t="s">
        <v>145</v>
      </c>
      <c r="C257" s="65">
        <f>2-0.5-1+1-1</f>
        <v>0.5</v>
      </c>
      <c r="D257" s="65">
        <v>5</v>
      </c>
      <c r="E257" s="40">
        <v>1514</v>
      </c>
      <c r="F257" s="41">
        <f t="shared" si="71"/>
        <v>757</v>
      </c>
      <c r="G257" s="41"/>
      <c r="H257" s="43"/>
      <c r="I257" s="43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3">
        <f t="shared" si="72"/>
        <v>0</v>
      </c>
      <c r="X257" s="41">
        <f t="shared" si="73"/>
        <v>757</v>
      </c>
      <c r="Y257" s="80">
        <f t="shared" si="74"/>
        <v>9084</v>
      </c>
    </row>
    <row r="258" spans="1:25" ht="19.5" customHeight="1">
      <c r="A258" s="62">
        <v>21</v>
      </c>
      <c r="B258" s="63" t="s">
        <v>146</v>
      </c>
      <c r="C258" s="65">
        <v>0.5</v>
      </c>
      <c r="D258" s="65">
        <v>4</v>
      </c>
      <c r="E258" s="40">
        <v>1414</v>
      </c>
      <c r="F258" s="41">
        <f t="shared" si="71"/>
        <v>707</v>
      </c>
      <c r="G258" s="41"/>
      <c r="H258" s="43"/>
      <c r="I258" s="43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3">
        <f t="shared" si="72"/>
        <v>0</v>
      </c>
      <c r="X258" s="41">
        <f t="shared" si="73"/>
        <v>707</v>
      </c>
      <c r="Y258" s="80">
        <f t="shared" si="74"/>
        <v>8484</v>
      </c>
    </row>
    <row r="259" spans="1:25" ht="19.5" customHeight="1">
      <c r="A259" s="62">
        <v>22</v>
      </c>
      <c r="B259" s="63" t="s">
        <v>168</v>
      </c>
      <c r="C259" s="65">
        <v>1</v>
      </c>
      <c r="D259" s="65">
        <v>3</v>
      </c>
      <c r="E259" s="40">
        <v>1393</v>
      </c>
      <c r="F259" s="41">
        <f t="shared" si="71"/>
        <v>1393</v>
      </c>
      <c r="G259" s="41"/>
      <c r="H259" s="43"/>
      <c r="I259" s="43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3">
        <f t="shared" si="72"/>
        <v>0</v>
      </c>
      <c r="X259" s="41">
        <f t="shared" si="73"/>
        <v>1393</v>
      </c>
      <c r="Y259" s="80">
        <f t="shared" si="74"/>
        <v>16716</v>
      </c>
    </row>
    <row r="260" spans="1:25" ht="19.5" customHeight="1">
      <c r="A260" s="62">
        <v>23</v>
      </c>
      <c r="B260" s="63" t="s">
        <v>169</v>
      </c>
      <c r="C260" s="65">
        <f>2.5-0.5</f>
        <v>2</v>
      </c>
      <c r="D260" s="65">
        <v>5</v>
      </c>
      <c r="E260" s="40">
        <v>1514</v>
      </c>
      <c r="F260" s="41">
        <f t="shared" si="71"/>
        <v>3028</v>
      </c>
      <c r="G260" s="41"/>
      <c r="H260" s="43"/>
      <c r="I260" s="43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3">
        <f t="shared" si="72"/>
        <v>0</v>
      </c>
      <c r="X260" s="41">
        <f t="shared" si="73"/>
        <v>3028</v>
      </c>
      <c r="Y260" s="80">
        <f t="shared" si="74"/>
        <v>36336</v>
      </c>
    </row>
    <row r="261" spans="1:25" ht="19.5" customHeight="1">
      <c r="A261" s="62">
        <v>24</v>
      </c>
      <c r="B261" s="63" t="s">
        <v>170</v>
      </c>
      <c r="C261" s="65">
        <v>0.5</v>
      </c>
      <c r="D261" s="65">
        <v>4</v>
      </c>
      <c r="E261" s="40">
        <v>1414</v>
      </c>
      <c r="F261" s="41">
        <f t="shared" si="71"/>
        <v>707</v>
      </c>
      <c r="G261" s="41"/>
      <c r="H261" s="43"/>
      <c r="I261" s="43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3">
        <f t="shared" si="72"/>
        <v>0</v>
      </c>
      <c r="X261" s="41">
        <f t="shared" si="73"/>
        <v>707</v>
      </c>
      <c r="Y261" s="80">
        <f t="shared" si="74"/>
        <v>8484</v>
      </c>
    </row>
    <row r="262" spans="1:25" ht="19.5" customHeight="1">
      <c r="A262" s="62">
        <v>25</v>
      </c>
      <c r="B262" s="63" t="s">
        <v>171</v>
      </c>
      <c r="C262" s="65">
        <v>0.5</v>
      </c>
      <c r="D262" s="65">
        <v>3</v>
      </c>
      <c r="E262" s="40">
        <v>1393</v>
      </c>
      <c r="F262" s="41">
        <f t="shared" si="71"/>
        <v>696.5</v>
      </c>
      <c r="G262" s="41"/>
      <c r="H262" s="43"/>
      <c r="I262" s="43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3">
        <f t="shared" si="72"/>
        <v>0</v>
      </c>
      <c r="X262" s="41">
        <f t="shared" si="73"/>
        <v>696.5</v>
      </c>
      <c r="Y262" s="80">
        <f t="shared" si="74"/>
        <v>8358</v>
      </c>
    </row>
    <row r="263" spans="1:25" ht="19.5" customHeight="1">
      <c r="A263" s="62">
        <v>26</v>
      </c>
      <c r="B263" s="63" t="s">
        <v>172</v>
      </c>
      <c r="C263" s="65">
        <v>3</v>
      </c>
      <c r="D263" s="65">
        <v>3</v>
      </c>
      <c r="E263" s="40">
        <v>1393</v>
      </c>
      <c r="F263" s="41">
        <f t="shared" si="71"/>
        <v>4179</v>
      </c>
      <c r="G263" s="41"/>
      <c r="H263" s="43"/>
      <c r="I263" s="43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3">
        <f t="shared" si="72"/>
        <v>0</v>
      </c>
      <c r="X263" s="41">
        <f t="shared" si="73"/>
        <v>4179</v>
      </c>
      <c r="Y263" s="80">
        <f t="shared" si="74"/>
        <v>50148</v>
      </c>
    </row>
    <row r="264" spans="1:25" ht="19.5" customHeight="1">
      <c r="A264" s="62">
        <v>27</v>
      </c>
      <c r="B264" s="63" t="s">
        <v>173</v>
      </c>
      <c r="C264" s="65">
        <v>1</v>
      </c>
      <c r="D264" s="65">
        <v>4</v>
      </c>
      <c r="E264" s="40">
        <v>1414</v>
      </c>
      <c r="F264" s="41">
        <f t="shared" si="71"/>
        <v>1414</v>
      </c>
      <c r="G264" s="41"/>
      <c r="H264" s="43"/>
      <c r="I264" s="43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3">
        <f t="shared" si="72"/>
        <v>0</v>
      </c>
      <c r="X264" s="41">
        <f t="shared" si="73"/>
        <v>1414</v>
      </c>
      <c r="Y264" s="80">
        <f t="shared" si="74"/>
        <v>16968</v>
      </c>
    </row>
    <row r="265" spans="1:25" ht="19.5" customHeight="1">
      <c r="A265" s="62">
        <v>28</v>
      </c>
      <c r="B265" s="63" t="s">
        <v>174</v>
      </c>
      <c r="C265" s="65">
        <f>1+3</f>
        <v>4</v>
      </c>
      <c r="D265" s="65">
        <v>3</v>
      </c>
      <c r="E265" s="40">
        <v>1393</v>
      </c>
      <c r="F265" s="41">
        <f t="shared" si="71"/>
        <v>5572</v>
      </c>
      <c r="G265" s="41"/>
      <c r="H265" s="43"/>
      <c r="I265" s="43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3">
        <f t="shared" si="72"/>
        <v>0</v>
      </c>
      <c r="X265" s="41">
        <f t="shared" si="73"/>
        <v>5572</v>
      </c>
      <c r="Y265" s="80">
        <f t="shared" si="74"/>
        <v>66864</v>
      </c>
    </row>
    <row r="266" spans="1:25" ht="19.5" customHeight="1">
      <c r="A266" s="62">
        <v>29</v>
      </c>
      <c r="B266" s="63" t="s">
        <v>175</v>
      </c>
      <c r="C266" s="65">
        <f>1-0.5</f>
        <v>0.5</v>
      </c>
      <c r="D266" s="65">
        <v>5</v>
      </c>
      <c r="E266" s="40">
        <v>1514</v>
      </c>
      <c r="F266" s="41">
        <f t="shared" si="71"/>
        <v>757</v>
      </c>
      <c r="G266" s="41"/>
      <c r="H266" s="43"/>
      <c r="I266" s="43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3">
        <f t="shared" si="72"/>
        <v>0</v>
      </c>
      <c r="X266" s="41">
        <f t="shared" si="73"/>
        <v>757</v>
      </c>
      <c r="Y266" s="80">
        <f t="shared" si="74"/>
        <v>9084</v>
      </c>
    </row>
    <row r="267" spans="1:25" ht="19.5" customHeight="1">
      <c r="A267" s="62">
        <v>30</v>
      </c>
      <c r="B267" s="63" t="s">
        <v>176</v>
      </c>
      <c r="C267" s="65">
        <v>0.5</v>
      </c>
      <c r="D267" s="65">
        <v>3</v>
      </c>
      <c r="E267" s="40">
        <v>1393</v>
      </c>
      <c r="F267" s="41">
        <f t="shared" si="71"/>
        <v>696.5</v>
      </c>
      <c r="G267" s="41"/>
      <c r="H267" s="43"/>
      <c r="I267" s="43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3">
        <f t="shared" si="72"/>
        <v>0</v>
      </c>
      <c r="X267" s="41">
        <f t="shared" si="73"/>
        <v>696.5</v>
      </c>
      <c r="Y267" s="80">
        <f t="shared" si="74"/>
        <v>8358</v>
      </c>
    </row>
    <row r="268" spans="1:25" ht="19.5" customHeight="1">
      <c r="A268" s="62"/>
      <c r="B268" s="63"/>
      <c r="C268" s="83">
        <f>SUM(C238:C267)</f>
        <v>152.5</v>
      </c>
      <c r="D268" s="83"/>
      <c r="E268" s="83"/>
      <c r="F268" s="84">
        <f aca="true" t="shared" si="75" ref="F268:Y268">SUM(F238:F267)</f>
        <v>230776.5</v>
      </c>
      <c r="G268" s="84">
        <f t="shared" si="75"/>
        <v>0</v>
      </c>
      <c r="H268" s="84">
        <f t="shared" si="75"/>
        <v>0</v>
      </c>
      <c r="I268" s="84">
        <f t="shared" si="75"/>
        <v>0</v>
      </c>
      <c r="J268" s="84">
        <f t="shared" si="75"/>
        <v>0</v>
      </c>
      <c r="K268" s="84">
        <f t="shared" si="75"/>
        <v>0</v>
      </c>
      <c r="L268" s="84">
        <f t="shared" si="75"/>
        <v>0</v>
      </c>
      <c r="M268" s="84">
        <f t="shared" si="75"/>
        <v>0</v>
      </c>
      <c r="N268" s="84">
        <f t="shared" si="75"/>
        <v>0</v>
      </c>
      <c r="O268" s="84">
        <f t="shared" si="75"/>
        <v>0</v>
      </c>
      <c r="P268" s="84">
        <f t="shared" si="75"/>
        <v>0</v>
      </c>
      <c r="Q268" s="84">
        <f t="shared" si="75"/>
        <v>0</v>
      </c>
      <c r="R268" s="84">
        <f t="shared" si="75"/>
        <v>0</v>
      </c>
      <c r="S268" s="84">
        <f t="shared" si="75"/>
        <v>0</v>
      </c>
      <c r="T268" s="84">
        <f t="shared" si="75"/>
        <v>0</v>
      </c>
      <c r="U268" s="84">
        <f t="shared" si="75"/>
        <v>0</v>
      </c>
      <c r="V268" s="84">
        <f t="shared" si="75"/>
        <v>0</v>
      </c>
      <c r="W268" s="84">
        <f t="shared" si="75"/>
        <v>0</v>
      </c>
      <c r="X268" s="84">
        <f t="shared" si="75"/>
        <v>230776.5</v>
      </c>
      <c r="Y268" s="84">
        <f t="shared" si="75"/>
        <v>2769318</v>
      </c>
    </row>
    <row r="269" spans="1:25" ht="19.5" customHeight="1">
      <c r="A269" s="290" t="s">
        <v>177</v>
      </c>
      <c r="B269" s="291"/>
      <c r="C269" s="291"/>
      <c r="D269" s="291"/>
      <c r="E269" s="291"/>
      <c r="F269" s="291"/>
      <c r="G269" s="291"/>
      <c r="H269" s="291"/>
      <c r="I269" s="291"/>
      <c r="J269" s="291"/>
      <c r="K269" s="291"/>
      <c r="L269" s="291"/>
      <c r="M269" s="291"/>
      <c r="N269" s="291"/>
      <c r="O269" s="291"/>
      <c r="P269" s="291"/>
      <c r="Q269" s="291"/>
      <c r="R269" s="291"/>
      <c r="S269" s="291"/>
      <c r="T269" s="291"/>
      <c r="U269" s="291"/>
      <c r="V269" s="291"/>
      <c r="W269" s="291"/>
      <c r="X269" s="292"/>
      <c r="Y269" s="62"/>
    </row>
    <row r="270" spans="1:25" ht="19.5" customHeight="1">
      <c r="A270" s="62">
        <v>1</v>
      </c>
      <c r="B270" s="63" t="s">
        <v>178</v>
      </c>
      <c r="C270" s="65">
        <v>1</v>
      </c>
      <c r="D270" s="65">
        <v>11</v>
      </c>
      <c r="E270" s="40">
        <v>2193</v>
      </c>
      <c r="F270" s="41">
        <f aca="true" t="shared" si="76" ref="F270:F279">E270*C270</f>
        <v>2193</v>
      </c>
      <c r="G270" s="41"/>
      <c r="H270" s="43"/>
      <c r="I270" s="43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3">
        <f aca="true" t="shared" si="77" ref="W270:W279">SUM(H270:V270)</f>
        <v>0</v>
      </c>
      <c r="X270" s="41">
        <f aca="true" t="shared" si="78" ref="X270:X279">C270*E270+W270</f>
        <v>2193</v>
      </c>
      <c r="Y270" s="80">
        <f aca="true" t="shared" si="79" ref="Y270:Y279">X270*12</f>
        <v>26316</v>
      </c>
    </row>
    <row r="271" spans="1:25" ht="19.5" customHeight="1">
      <c r="A271" s="62">
        <v>2</v>
      </c>
      <c r="B271" s="63" t="s">
        <v>65</v>
      </c>
      <c r="C271" s="65">
        <v>4</v>
      </c>
      <c r="D271" s="65">
        <v>9</v>
      </c>
      <c r="E271" s="40">
        <v>1925</v>
      </c>
      <c r="F271" s="41">
        <f t="shared" si="76"/>
        <v>7700</v>
      </c>
      <c r="G271" s="41"/>
      <c r="H271" s="43"/>
      <c r="I271" s="43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3">
        <f t="shared" si="77"/>
        <v>0</v>
      </c>
      <c r="X271" s="41">
        <f t="shared" si="78"/>
        <v>7700</v>
      </c>
      <c r="Y271" s="80">
        <f t="shared" si="79"/>
        <v>92400</v>
      </c>
    </row>
    <row r="272" spans="1:25" ht="19.5" customHeight="1">
      <c r="A272" s="62">
        <v>3</v>
      </c>
      <c r="B272" s="63" t="s">
        <v>67</v>
      </c>
      <c r="C272" s="65">
        <v>1</v>
      </c>
      <c r="D272" s="65">
        <v>7</v>
      </c>
      <c r="E272" s="40">
        <v>1714</v>
      </c>
      <c r="F272" s="41">
        <f t="shared" si="76"/>
        <v>1714</v>
      </c>
      <c r="G272" s="41"/>
      <c r="H272" s="43"/>
      <c r="I272" s="43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3">
        <f t="shared" si="77"/>
        <v>0</v>
      </c>
      <c r="X272" s="41">
        <f t="shared" si="78"/>
        <v>1714</v>
      </c>
      <c r="Y272" s="80">
        <f t="shared" si="79"/>
        <v>20568</v>
      </c>
    </row>
    <row r="273" spans="1:25" ht="19.5" customHeight="1">
      <c r="A273" s="62">
        <v>4</v>
      </c>
      <c r="B273" s="63" t="s">
        <v>68</v>
      </c>
      <c r="C273" s="65">
        <v>4</v>
      </c>
      <c r="D273" s="65">
        <v>7</v>
      </c>
      <c r="E273" s="40">
        <v>1714</v>
      </c>
      <c r="F273" s="41">
        <f t="shared" si="76"/>
        <v>6856</v>
      </c>
      <c r="G273" s="41"/>
      <c r="H273" s="43"/>
      <c r="I273" s="43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3">
        <f t="shared" si="77"/>
        <v>0</v>
      </c>
      <c r="X273" s="41">
        <f t="shared" si="78"/>
        <v>6856</v>
      </c>
      <c r="Y273" s="80">
        <f t="shared" si="79"/>
        <v>82272</v>
      </c>
    </row>
    <row r="274" spans="1:25" ht="19.5" customHeight="1">
      <c r="A274" s="62">
        <v>5</v>
      </c>
      <c r="B274" s="63" t="s">
        <v>149</v>
      </c>
      <c r="C274" s="65">
        <v>16</v>
      </c>
      <c r="D274" s="65">
        <v>5</v>
      </c>
      <c r="E274" s="40">
        <v>1514</v>
      </c>
      <c r="F274" s="41">
        <f t="shared" si="76"/>
        <v>24224</v>
      </c>
      <c r="G274" s="41"/>
      <c r="H274" s="43"/>
      <c r="I274" s="43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3">
        <f t="shared" si="77"/>
        <v>0</v>
      </c>
      <c r="X274" s="41">
        <f t="shared" si="78"/>
        <v>24224</v>
      </c>
      <c r="Y274" s="80">
        <f t="shared" si="79"/>
        <v>290688</v>
      </c>
    </row>
    <row r="275" spans="1:25" ht="19.5" customHeight="1">
      <c r="A275" s="62">
        <v>6</v>
      </c>
      <c r="B275" s="63" t="s">
        <v>154</v>
      </c>
      <c r="C275" s="65">
        <f>1+2</f>
        <v>3</v>
      </c>
      <c r="D275" s="65">
        <v>4</v>
      </c>
      <c r="E275" s="40">
        <v>1414</v>
      </c>
      <c r="F275" s="41">
        <f t="shared" si="76"/>
        <v>4242</v>
      </c>
      <c r="G275" s="41"/>
      <c r="H275" s="43"/>
      <c r="I275" s="43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3">
        <f t="shared" si="77"/>
        <v>0</v>
      </c>
      <c r="X275" s="41">
        <f t="shared" si="78"/>
        <v>4242</v>
      </c>
      <c r="Y275" s="80">
        <f t="shared" si="79"/>
        <v>50904</v>
      </c>
    </row>
    <row r="276" spans="1:25" ht="19.5" customHeight="1">
      <c r="A276" s="62">
        <v>7</v>
      </c>
      <c r="B276" s="63" t="s">
        <v>179</v>
      </c>
      <c r="C276" s="65">
        <v>1</v>
      </c>
      <c r="D276" s="65">
        <v>3</v>
      </c>
      <c r="E276" s="40">
        <v>1393</v>
      </c>
      <c r="F276" s="41">
        <f t="shared" si="76"/>
        <v>1393</v>
      </c>
      <c r="G276" s="41"/>
      <c r="H276" s="43"/>
      <c r="I276" s="43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3">
        <f t="shared" si="77"/>
        <v>0</v>
      </c>
      <c r="X276" s="41">
        <f t="shared" si="78"/>
        <v>1393</v>
      </c>
      <c r="Y276" s="80">
        <f t="shared" si="79"/>
        <v>16716</v>
      </c>
    </row>
    <row r="277" spans="1:25" ht="19.5" customHeight="1">
      <c r="A277" s="62">
        <v>8</v>
      </c>
      <c r="B277" s="63" t="s">
        <v>180</v>
      </c>
      <c r="C277" s="65">
        <v>1</v>
      </c>
      <c r="D277" s="65">
        <v>2</v>
      </c>
      <c r="E277" s="40">
        <v>1383</v>
      </c>
      <c r="F277" s="41">
        <f t="shared" si="76"/>
        <v>1383</v>
      </c>
      <c r="G277" s="41"/>
      <c r="H277" s="43"/>
      <c r="I277" s="43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3">
        <f t="shared" si="77"/>
        <v>0</v>
      </c>
      <c r="X277" s="41">
        <f t="shared" si="78"/>
        <v>1383</v>
      </c>
      <c r="Y277" s="80">
        <f t="shared" si="79"/>
        <v>16596</v>
      </c>
    </row>
    <row r="278" spans="1:25" ht="19.5" customHeight="1">
      <c r="A278" s="62">
        <v>9</v>
      </c>
      <c r="B278" s="63" t="s">
        <v>181</v>
      </c>
      <c r="C278" s="65">
        <f>0.5+1</f>
        <v>1.5</v>
      </c>
      <c r="D278" s="65">
        <v>5</v>
      </c>
      <c r="E278" s="40">
        <v>1514</v>
      </c>
      <c r="F278" s="41">
        <f t="shared" si="76"/>
        <v>2271</v>
      </c>
      <c r="G278" s="41"/>
      <c r="H278" s="43"/>
      <c r="I278" s="43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3">
        <f t="shared" si="77"/>
        <v>0</v>
      </c>
      <c r="X278" s="41">
        <f t="shared" si="78"/>
        <v>2271</v>
      </c>
      <c r="Y278" s="80">
        <f t="shared" si="79"/>
        <v>27252</v>
      </c>
    </row>
    <row r="279" spans="1:25" ht="19.5" customHeight="1">
      <c r="A279" s="62">
        <v>10</v>
      </c>
      <c r="B279" s="63" t="s">
        <v>182</v>
      </c>
      <c r="C279" s="65">
        <v>1</v>
      </c>
      <c r="D279" s="65">
        <v>3</v>
      </c>
      <c r="E279" s="40">
        <v>1393</v>
      </c>
      <c r="F279" s="41">
        <f t="shared" si="76"/>
        <v>1393</v>
      </c>
      <c r="G279" s="41"/>
      <c r="H279" s="43"/>
      <c r="I279" s="43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3">
        <f t="shared" si="77"/>
        <v>0</v>
      </c>
      <c r="X279" s="41">
        <f t="shared" si="78"/>
        <v>1393</v>
      </c>
      <c r="Y279" s="80">
        <f t="shared" si="79"/>
        <v>16716</v>
      </c>
    </row>
    <row r="280" spans="1:29" ht="19.5" customHeight="1">
      <c r="A280" s="62"/>
      <c r="B280" s="63"/>
      <c r="C280" s="83">
        <f>SUM(C270:C279)</f>
        <v>33.5</v>
      </c>
      <c r="D280" s="83"/>
      <c r="E280" s="83"/>
      <c r="F280" s="84">
        <f aca="true" t="shared" si="80" ref="F280:Y280">SUM(F270:F279)</f>
        <v>53369</v>
      </c>
      <c r="G280" s="84">
        <f t="shared" si="80"/>
        <v>0</v>
      </c>
      <c r="H280" s="84">
        <f t="shared" si="80"/>
        <v>0</v>
      </c>
      <c r="I280" s="84">
        <f t="shared" si="80"/>
        <v>0</v>
      </c>
      <c r="J280" s="84">
        <f t="shared" si="80"/>
        <v>0</v>
      </c>
      <c r="K280" s="84">
        <f t="shared" si="80"/>
        <v>0</v>
      </c>
      <c r="L280" s="84">
        <f t="shared" si="80"/>
        <v>0</v>
      </c>
      <c r="M280" s="84">
        <f t="shared" si="80"/>
        <v>0</v>
      </c>
      <c r="N280" s="84">
        <f t="shared" si="80"/>
        <v>0</v>
      </c>
      <c r="O280" s="84">
        <f t="shared" si="80"/>
        <v>0</v>
      </c>
      <c r="P280" s="84">
        <f t="shared" si="80"/>
        <v>0</v>
      </c>
      <c r="Q280" s="84">
        <f t="shared" si="80"/>
        <v>0</v>
      </c>
      <c r="R280" s="84">
        <f t="shared" si="80"/>
        <v>0</v>
      </c>
      <c r="S280" s="84">
        <f t="shared" si="80"/>
        <v>0</v>
      </c>
      <c r="T280" s="84">
        <f t="shared" si="80"/>
        <v>0</v>
      </c>
      <c r="U280" s="84">
        <f t="shared" si="80"/>
        <v>0</v>
      </c>
      <c r="V280" s="84">
        <f t="shared" si="80"/>
        <v>0</v>
      </c>
      <c r="W280" s="84">
        <f t="shared" si="80"/>
        <v>0</v>
      </c>
      <c r="X280" s="84">
        <f t="shared" si="80"/>
        <v>53369</v>
      </c>
      <c r="Y280" s="84">
        <f t="shared" si="80"/>
        <v>640428</v>
      </c>
      <c r="Z280" s="84">
        <f>SUM(Z270:Z278)</f>
        <v>0</v>
      </c>
      <c r="AA280" s="84">
        <f>SUM(AA270:AA278)</f>
        <v>0</v>
      </c>
      <c r="AB280" s="84">
        <f>SUM(AB270:AB278)</f>
        <v>0</v>
      </c>
      <c r="AC280" s="84">
        <f>SUM(AC270:AC278)</f>
        <v>0</v>
      </c>
    </row>
    <row r="281" spans="1:25" ht="19.5" customHeight="1">
      <c r="A281" s="290" t="s">
        <v>183</v>
      </c>
      <c r="B281" s="291"/>
      <c r="C281" s="291"/>
      <c r="D281" s="291"/>
      <c r="E281" s="291"/>
      <c r="F281" s="291"/>
      <c r="G281" s="291"/>
      <c r="H281" s="291"/>
      <c r="I281" s="291"/>
      <c r="J281" s="291"/>
      <c r="K281" s="291"/>
      <c r="L281" s="291"/>
      <c r="M281" s="291"/>
      <c r="N281" s="291"/>
      <c r="O281" s="291"/>
      <c r="P281" s="291"/>
      <c r="Q281" s="291"/>
      <c r="R281" s="291"/>
      <c r="S281" s="291"/>
      <c r="T281" s="291"/>
      <c r="U281" s="291"/>
      <c r="V281" s="291"/>
      <c r="W281" s="291"/>
      <c r="X281" s="292"/>
      <c r="Y281" s="62"/>
    </row>
    <row r="282" spans="1:25" ht="19.5" customHeight="1">
      <c r="A282" s="62">
        <v>1</v>
      </c>
      <c r="B282" s="63" t="s">
        <v>84</v>
      </c>
      <c r="C282" s="65">
        <v>1</v>
      </c>
      <c r="D282" s="65">
        <v>12</v>
      </c>
      <c r="E282" s="40">
        <v>2360</v>
      </c>
      <c r="F282" s="41">
        <f>E282*C282</f>
        <v>2360</v>
      </c>
      <c r="G282" s="41"/>
      <c r="H282" s="43"/>
      <c r="I282" s="43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3">
        <f>SUM(H282:V282)</f>
        <v>0</v>
      </c>
      <c r="X282" s="41">
        <f>C282*E282+W282</f>
        <v>2360</v>
      </c>
      <c r="Y282" s="80">
        <f>X282*12</f>
        <v>28320</v>
      </c>
    </row>
    <row r="283" spans="1:25" ht="19.5" customHeight="1">
      <c r="A283" s="62">
        <v>2</v>
      </c>
      <c r="B283" s="63" t="s">
        <v>100</v>
      </c>
      <c r="C283" s="65">
        <v>1</v>
      </c>
      <c r="D283" s="65"/>
      <c r="E283" s="40">
        <v>2124</v>
      </c>
      <c r="F283" s="41">
        <f>E283*C283</f>
        <v>2124</v>
      </c>
      <c r="G283" s="41"/>
      <c r="H283" s="43"/>
      <c r="I283" s="43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3">
        <f>SUM(H283:V283)</f>
        <v>0</v>
      </c>
      <c r="X283" s="41">
        <f>C283*E283+W283</f>
        <v>2124</v>
      </c>
      <c r="Y283" s="80">
        <f>X283*12</f>
        <v>25488</v>
      </c>
    </row>
    <row r="284" spans="1:25" ht="19.5" customHeight="1">
      <c r="A284" s="62">
        <v>3</v>
      </c>
      <c r="B284" s="63" t="s">
        <v>65</v>
      </c>
      <c r="C284" s="65">
        <f>5-0.25</f>
        <v>4.75</v>
      </c>
      <c r="D284" s="65">
        <v>9</v>
      </c>
      <c r="E284" s="40">
        <v>1925</v>
      </c>
      <c r="F284" s="41">
        <f>E284*C284</f>
        <v>9143.75</v>
      </c>
      <c r="G284" s="41"/>
      <c r="H284" s="43"/>
      <c r="I284" s="43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3">
        <f>SUM(H284:V284)</f>
        <v>0</v>
      </c>
      <c r="X284" s="41">
        <f>C284*E284+W284</f>
        <v>9143.75</v>
      </c>
      <c r="Y284" s="80">
        <f>X284*12</f>
        <v>109725</v>
      </c>
    </row>
    <row r="285" spans="1:25" ht="19.5" customHeight="1">
      <c r="A285" s="62"/>
      <c r="B285" s="63"/>
      <c r="C285" s="83">
        <f>SUM(C282:C284)</f>
        <v>6.75</v>
      </c>
      <c r="D285" s="83"/>
      <c r="E285" s="83"/>
      <c r="F285" s="84">
        <f>SUM(F282:F284)</f>
        <v>13627.75</v>
      </c>
      <c r="G285" s="84"/>
      <c r="H285" s="83">
        <f aca="true" t="shared" si="81" ref="H285:V285">SUM(H282:H284)</f>
        <v>0</v>
      </c>
      <c r="I285" s="83">
        <f t="shared" si="81"/>
        <v>0</v>
      </c>
      <c r="J285" s="83">
        <f t="shared" si="81"/>
        <v>0</v>
      </c>
      <c r="K285" s="83">
        <f t="shared" si="81"/>
        <v>0</v>
      </c>
      <c r="L285" s="83">
        <f t="shared" si="81"/>
        <v>0</v>
      </c>
      <c r="M285" s="83">
        <f t="shared" si="81"/>
        <v>0</v>
      </c>
      <c r="N285" s="83">
        <f t="shared" si="81"/>
        <v>0</v>
      </c>
      <c r="O285" s="83">
        <f t="shared" si="81"/>
        <v>0</v>
      </c>
      <c r="P285" s="83">
        <f t="shared" si="81"/>
        <v>0</v>
      </c>
      <c r="Q285" s="83">
        <f t="shared" si="81"/>
        <v>0</v>
      </c>
      <c r="R285" s="83">
        <f t="shared" si="81"/>
        <v>0</v>
      </c>
      <c r="S285" s="83">
        <f t="shared" si="81"/>
        <v>0</v>
      </c>
      <c r="T285" s="83">
        <f t="shared" si="81"/>
        <v>0</v>
      </c>
      <c r="U285" s="83">
        <f t="shared" si="81"/>
        <v>0</v>
      </c>
      <c r="V285" s="83">
        <f t="shared" si="81"/>
        <v>0</v>
      </c>
      <c r="W285" s="43">
        <f>SUM(H285:V285)</f>
        <v>0</v>
      </c>
      <c r="X285" s="47">
        <f>SUM(X282:X284)</f>
        <v>13627.75</v>
      </c>
      <c r="Y285" s="47">
        <f>SUM(Y282:Y284)</f>
        <v>163533</v>
      </c>
    </row>
    <row r="286" spans="1:25" ht="18" customHeight="1">
      <c r="A286" s="290" t="s">
        <v>184</v>
      </c>
      <c r="B286" s="291"/>
      <c r="C286" s="291"/>
      <c r="D286" s="291"/>
      <c r="E286" s="291"/>
      <c r="F286" s="291"/>
      <c r="G286" s="291"/>
      <c r="H286" s="291"/>
      <c r="I286" s="291"/>
      <c r="J286" s="291"/>
      <c r="K286" s="291"/>
      <c r="L286" s="291"/>
      <c r="M286" s="291"/>
      <c r="N286" s="291"/>
      <c r="O286" s="291"/>
      <c r="P286" s="291"/>
      <c r="Q286" s="291"/>
      <c r="R286" s="291"/>
      <c r="S286" s="291"/>
      <c r="T286" s="291"/>
      <c r="U286" s="291"/>
      <c r="V286" s="291"/>
      <c r="W286" s="291"/>
      <c r="X286" s="292"/>
      <c r="Y286" s="62"/>
    </row>
    <row r="287" spans="1:25" ht="19.5" customHeight="1">
      <c r="A287" s="62">
        <v>1</v>
      </c>
      <c r="B287" s="63" t="s">
        <v>185</v>
      </c>
      <c r="C287" s="65">
        <v>1</v>
      </c>
      <c r="D287" s="65">
        <v>15</v>
      </c>
      <c r="E287" s="40">
        <v>2872</v>
      </c>
      <c r="F287" s="41">
        <f aca="true" t="shared" si="82" ref="F287:F300">E287*C287</f>
        <v>2872</v>
      </c>
      <c r="G287" s="41"/>
      <c r="H287" s="66">
        <f aca="true" t="shared" si="83" ref="H287:H299">ROUNDUP(F287*50%,0)</f>
        <v>1436</v>
      </c>
      <c r="I287" s="66"/>
      <c r="J287" s="42"/>
      <c r="K287" s="42"/>
      <c r="L287" s="42"/>
      <c r="M287" s="42"/>
      <c r="N287" s="66">
        <f aca="true" t="shared" si="84" ref="N287:N299">ROUNDUP(F287*30%,0)</f>
        <v>862</v>
      </c>
      <c r="O287" s="42"/>
      <c r="P287" s="42"/>
      <c r="Q287" s="66">
        <f>ROUNDUP(F287*25%,0)</f>
        <v>718</v>
      </c>
      <c r="R287" s="42"/>
      <c r="S287" s="66">
        <f>ROUNDUP(F287*15%,0)</f>
        <v>431</v>
      </c>
      <c r="T287" s="42"/>
      <c r="U287" s="42"/>
      <c r="V287" s="42"/>
      <c r="W287" s="42">
        <f aca="true" t="shared" si="85" ref="W287:W301">SUM(H287:V287)</f>
        <v>3447</v>
      </c>
      <c r="X287" s="41">
        <f aca="true" t="shared" si="86" ref="X287:X300">C287*E287+W287</f>
        <v>6319</v>
      </c>
      <c r="Y287" s="80">
        <f aca="true" t="shared" si="87" ref="Y287:Y300">X287*12</f>
        <v>75828</v>
      </c>
    </row>
    <row r="288" spans="1:25" ht="22.5" customHeight="1">
      <c r="A288" s="62">
        <v>2</v>
      </c>
      <c r="B288" s="63" t="s">
        <v>186</v>
      </c>
      <c r="C288" s="65">
        <v>3</v>
      </c>
      <c r="D288" s="65"/>
      <c r="E288" s="40">
        <v>2728</v>
      </c>
      <c r="F288" s="41">
        <f t="shared" si="82"/>
        <v>8184</v>
      </c>
      <c r="G288" s="41"/>
      <c r="H288" s="66">
        <f t="shared" si="83"/>
        <v>4092</v>
      </c>
      <c r="I288" s="66"/>
      <c r="J288" s="42"/>
      <c r="K288" s="42"/>
      <c r="L288" s="42"/>
      <c r="M288" s="42"/>
      <c r="N288" s="66">
        <f t="shared" si="84"/>
        <v>2456</v>
      </c>
      <c r="O288" s="42"/>
      <c r="P288" s="42"/>
      <c r="Q288" s="66"/>
      <c r="R288" s="42"/>
      <c r="S288" s="66"/>
      <c r="T288" s="42"/>
      <c r="U288" s="42"/>
      <c r="V288" s="42"/>
      <c r="W288" s="42">
        <f t="shared" si="85"/>
        <v>6548</v>
      </c>
      <c r="X288" s="41">
        <f t="shared" si="86"/>
        <v>14732</v>
      </c>
      <c r="Y288" s="80">
        <f t="shared" si="87"/>
        <v>176784</v>
      </c>
    </row>
    <row r="289" spans="1:25" ht="22.5" customHeight="1">
      <c r="A289" s="62">
        <v>3</v>
      </c>
      <c r="B289" s="63" t="s">
        <v>187</v>
      </c>
      <c r="C289" s="65">
        <v>1</v>
      </c>
      <c r="D289" s="65">
        <v>14</v>
      </c>
      <c r="E289" s="40">
        <v>2693</v>
      </c>
      <c r="F289" s="41">
        <f t="shared" si="82"/>
        <v>2693</v>
      </c>
      <c r="G289" s="41"/>
      <c r="H289" s="66">
        <f t="shared" si="83"/>
        <v>1347</v>
      </c>
      <c r="I289" s="66"/>
      <c r="J289" s="42"/>
      <c r="K289" s="42"/>
      <c r="L289" s="42"/>
      <c r="M289" s="42"/>
      <c r="N289" s="66">
        <f t="shared" si="84"/>
        <v>808</v>
      </c>
      <c r="O289" s="42"/>
      <c r="P289" s="42"/>
      <c r="Q289" s="66"/>
      <c r="R289" s="42"/>
      <c r="S289" s="66"/>
      <c r="T289" s="42"/>
      <c r="U289" s="42"/>
      <c r="V289" s="42"/>
      <c r="W289" s="42">
        <f t="shared" si="85"/>
        <v>2155</v>
      </c>
      <c r="X289" s="41">
        <f t="shared" si="86"/>
        <v>4848</v>
      </c>
      <c r="Y289" s="80">
        <f t="shared" si="87"/>
        <v>58176</v>
      </c>
    </row>
    <row r="290" spans="1:25" ht="22.5" customHeight="1">
      <c r="A290" s="62">
        <v>3</v>
      </c>
      <c r="B290" s="63" t="s">
        <v>188</v>
      </c>
      <c r="C290" s="65">
        <f>9+2</f>
        <v>11</v>
      </c>
      <c r="D290" s="65">
        <v>13</v>
      </c>
      <c r="E290" s="40">
        <v>2527</v>
      </c>
      <c r="F290" s="41">
        <f t="shared" si="82"/>
        <v>27797</v>
      </c>
      <c r="G290" s="41"/>
      <c r="H290" s="66">
        <f t="shared" si="83"/>
        <v>13899</v>
      </c>
      <c r="I290" s="66"/>
      <c r="J290" s="42"/>
      <c r="K290" s="42"/>
      <c r="L290" s="42"/>
      <c r="M290" s="42"/>
      <c r="N290" s="66">
        <f t="shared" si="84"/>
        <v>8340</v>
      </c>
      <c r="O290" s="42"/>
      <c r="P290" s="42"/>
      <c r="Q290" s="66"/>
      <c r="R290" s="42"/>
      <c r="S290" s="66"/>
      <c r="T290" s="42"/>
      <c r="U290" s="42"/>
      <c r="V290" s="42"/>
      <c r="W290" s="42">
        <f t="shared" si="85"/>
        <v>22239</v>
      </c>
      <c r="X290" s="41">
        <f t="shared" si="86"/>
        <v>50036</v>
      </c>
      <c r="Y290" s="80">
        <f t="shared" si="87"/>
        <v>600432</v>
      </c>
    </row>
    <row r="291" spans="1:25" ht="22.5" customHeight="1">
      <c r="A291" s="62">
        <v>4</v>
      </c>
      <c r="B291" s="63" t="s">
        <v>189</v>
      </c>
      <c r="C291" s="65">
        <f>14-0.5-3+1+3.5</f>
        <v>15</v>
      </c>
      <c r="D291" s="65">
        <v>12</v>
      </c>
      <c r="E291" s="40">
        <v>2360</v>
      </c>
      <c r="F291" s="41">
        <f t="shared" si="82"/>
        <v>35400</v>
      </c>
      <c r="G291" s="41"/>
      <c r="H291" s="66">
        <f t="shared" si="83"/>
        <v>17700</v>
      </c>
      <c r="I291" s="66"/>
      <c r="J291" s="42"/>
      <c r="K291" s="42"/>
      <c r="L291" s="42"/>
      <c r="M291" s="42"/>
      <c r="N291" s="66">
        <f t="shared" si="84"/>
        <v>10620</v>
      </c>
      <c r="O291" s="42"/>
      <c r="P291" s="42"/>
      <c r="Q291" s="42"/>
      <c r="R291" s="42"/>
      <c r="S291" s="42"/>
      <c r="T291" s="42"/>
      <c r="U291" s="42"/>
      <c r="V291" s="42"/>
      <c r="W291" s="42">
        <f t="shared" si="85"/>
        <v>28320</v>
      </c>
      <c r="X291" s="41">
        <f t="shared" si="86"/>
        <v>63720</v>
      </c>
      <c r="Y291" s="80">
        <f t="shared" si="87"/>
        <v>764640</v>
      </c>
    </row>
    <row r="292" spans="1:25" ht="22.5" customHeight="1">
      <c r="A292" s="62">
        <v>5</v>
      </c>
      <c r="B292" s="63" t="s">
        <v>190</v>
      </c>
      <c r="C292" s="65">
        <v>3</v>
      </c>
      <c r="D292" s="65">
        <v>12</v>
      </c>
      <c r="E292" s="40">
        <v>2360</v>
      </c>
      <c r="F292" s="41">
        <f t="shared" si="82"/>
        <v>7080</v>
      </c>
      <c r="G292" s="41"/>
      <c r="H292" s="66">
        <f t="shared" si="83"/>
        <v>3540</v>
      </c>
      <c r="I292" s="66"/>
      <c r="J292" s="42"/>
      <c r="K292" s="42"/>
      <c r="L292" s="42"/>
      <c r="M292" s="42"/>
      <c r="N292" s="66">
        <f t="shared" si="84"/>
        <v>2124</v>
      </c>
      <c r="O292" s="42"/>
      <c r="P292" s="42"/>
      <c r="Q292" s="42"/>
      <c r="R292" s="42"/>
      <c r="S292" s="42"/>
      <c r="T292" s="42"/>
      <c r="U292" s="42"/>
      <c r="V292" s="42"/>
      <c r="W292" s="42">
        <f t="shared" si="85"/>
        <v>5664</v>
      </c>
      <c r="X292" s="41">
        <f t="shared" si="86"/>
        <v>12744</v>
      </c>
      <c r="Y292" s="80">
        <f t="shared" si="87"/>
        <v>152928</v>
      </c>
    </row>
    <row r="293" spans="1:25" ht="22.5" customHeight="1">
      <c r="A293" s="62">
        <v>6</v>
      </c>
      <c r="B293" s="63" t="s">
        <v>191</v>
      </c>
      <c r="C293" s="65">
        <v>1</v>
      </c>
      <c r="D293" s="65">
        <v>12</v>
      </c>
      <c r="E293" s="40">
        <v>2360</v>
      </c>
      <c r="F293" s="41">
        <f t="shared" si="82"/>
        <v>2360</v>
      </c>
      <c r="G293" s="41"/>
      <c r="H293" s="66">
        <f t="shared" si="83"/>
        <v>1180</v>
      </c>
      <c r="I293" s="66"/>
      <c r="J293" s="42"/>
      <c r="K293" s="42"/>
      <c r="L293" s="42"/>
      <c r="M293" s="42"/>
      <c r="N293" s="66">
        <f t="shared" si="84"/>
        <v>708</v>
      </c>
      <c r="O293" s="42"/>
      <c r="P293" s="42"/>
      <c r="Q293" s="42"/>
      <c r="R293" s="42"/>
      <c r="S293" s="42"/>
      <c r="T293" s="42"/>
      <c r="U293" s="42"/>
      <c r="V293" s="42"/>
      <c r="W293" s="42">
        <f t="shared" si="85"/>
        <v>1888</v>
      </c>
      <c r="X293" s="41">
        <f t="shared" si="86"/>
        <v>4248</v>
      </c>
      <c r="Y293" s="80">
        <f t="shared" si="87"/>
        <v>50976</v>
      </c>
    </row>
    <row r="294" spans="1:25" ht="22.5" customHeight="1">
      <c r="A294" s="62">
        <v>7</v>
      </c>
      <c r="B294" s="63" t="s">
        <v>192</v>
      </c>
      <c r="C294" s="65">
        <f>12-1-4+0.5</f>
        <v>7.5</v>
      </c>
      <c r="D294" s="65">
        <v>10</v>
      </c>
      <c r="E294" s="40">
        <v>2026</v>
      </c>
      <c r="F294" s="41">
        <f t="shared" si="82"/>
        <v>15195</v>
      </c>
      <c r="G294" s="41"/>
      <c r="H294" s="66">
        <f t="shared" si="83"/>
        <v>7598</v>
      </c>
      <c r="I294" s="66"/>
      <c r="J294" s="42"/>
      <c r="K294" s="42"/>
      <c r="L294" s="42"/>
      <c r="M294" s="42"/>
      <c r="N294" s="66">
        <f t="shared" si="84"/>
        <v>4559</v>
      </c>
      <c r="O294" s="42"/>
      <c r="P294" s="42"/>
      <c r="Q294" s="42"/>
      <c r="R294" s="42"/>
      <c r="S294" s="42"/>
      <c r="T294" s="42"/>
      <c r="U294" s="42"/>
      <c r="V294" s="42"/>
      <c r="W294" s="42">
        <f t="shared" si="85"/>
        <v>12157</v>
      </c>
      <c r="X294" s="41">
        <f t="shared" si="86"/>
        <v>27352</v>
      </c>
      <c r="Y294" s="80">
        <f t="shared" si="87"/>
        <v>328224</v>
      </c>
    </row>
    <row r="295" spans="1:25" ht="22.5" customHeight="1">
      <c r="A295" s="62">
        <v>8</v>
      </c>
      <c r="B295" s="63" t="s">
        <v>193</v>
      </c>
      <c r="C295" s="65">
        <v>3</v>
      </c>
      <c r="D295" s="65">
        <v>10</v>
      </c>
      <c r="E295" s="40">
        <v>2026</v>
      </c>
      <c r="F295" s="41">
        <f t="shared" si="82"/>
        <v>6078</v>
      </c>
      <c r="G295" s="41"/>
      <c r="H295" s="66">
        <f t="shared" si="83"/>
        <v>3039</v>
      </c>
      <c r="I295" s="66"/>
      <c r="J295" s="42"/>
      <c r="K295" s="42"/>
      <c r="L295" s="42"/>
      <c r="M295" s="42"/>
      <c r="N295" s="66">
        <f t="shared" si="84"/>
        <v>1824</v>
      </c>
      <c r="O295" s="42"/>
      <c r="P295" s="42"/>
      <c r="Q295" s="42"/>
      <c r="R295" s="42"/>
      <c r="S295" s="42"/>
      <c r="T295" s="42"/>
      <c r="U295" s="42"/>
      <c r="V295" s="42"/>
      <c r="W295" s="42">
        <f t="shared" si="85"/>
        <v>4863</v>
      </c>
      <c r="X295" s="41">
        <f t="shared" si="86"/>
        <v>10941</v>
      </c>
      <c r="Y295" s="80">
        <f t="shared" si="87"/>
        <v>131292</v>
      </c>
    </row>
    <row r="296" spans="1:25" ht="22.5" customHeight="1">
      <c r="A296" s="62">
        <v>9</v>
      </c>
      <c r="B296" s="63" t="s">
        <v>194</v>
      </c>
      <c r="C296" s="65">
        <f>24.5-13.5+3-9</f>
        <v>5</v>
      </c>
      <c r="D296" s="65">
        <v>9</v>
      </c>
      <c r="E296" s="40">
        <v>1925</v>
      </c>
      <c r="F296" s="41">
        <f t="shared" si="82"/>
        <v>9625</v>
      </c>
      <c r="G296" s="41"/>
      <c r="H296" s="66">
        <f t="shared" si="83"/>
        <v>4813</v>
      </c>
      <c r="I296" s="66"/>
      <c r="J296" s="42"/>
      <c r="K296" s="42"/>
      <c r="L296" s="42"/>
      <c r="M296" s="42"/>
      <c r="N296" s="66">
        <f t="shared" si="84"/>
        <v>2888</v>
      </c>
      <c r="O296" s="42"/>
      <c r="P296" s="42"/>
      <c r="Q296" s="42"/>
      <c r="R296" s="42"/>
      <c r="S296" s="42"/>
      <c r="T296" s="42"/>
      <c r="U296" s="42"/>
      <c r="V296" s="42"/>
      <c r="W296" s="42">
        <f t="shared" si="85"/>
        <v>7701</v>
      </c>
      <c r="X296" s="41">
        <f t="shared" si="86"/>
        <v>17326</v>
      </c>
      <c r="Y296" s="80">
        <f t="shared" si="87"/>
        <v>207912</v>
      </c>
    </row>
    <row r="297" spans="1:25" ht="22.5" customHeight="1">
      <c r="A297" s="62">
        <v>10</v>
      </c>
      <c r="B297" s="63" t="s">
        <v>195</v>
      </c>
      <c r="C297" s="65">
        <v>2</v>
      </c>
      <c r="D297" s="65">
        <v>9</v>
      </c>
      <c r="E297" s="40">
        <v>1925</v>
      </c>
      <c r="F297" s="41">
        <f t="shared" si="82"/>
        <v>3850</v>
      </c>
      <c r="G297" s="41"/>
      <c r="H297" s="66">
        <f t="shared" si="83"/>
        <v>1925</v>
      </c>
      <c r="I297" s="66"/>
      <c r="J297" s="42"/>
      <c r="K297" s="42"/>
      <c r="L297" s="42"/>
      <c r="M297" s="42"/>
      <c r="N297" s="66">
        <f t="shared" si="84"/>
        <v>1155</v>
      </c>
      <c r="O297" s="42"/>
      <c r="P297" s="42"/>
      <c r="Q297" s="42"/>
      <c r="R297" s="42"/>
      <c r="S297" s="42"/>
      <c r="T297" s="42"/>
      <c r="U297" s="42"/>
      <c r="V297" s="42"/>
      <c r="W297" s="42">
        <f t="shared" si="85"/>
        <v>3080</v>
      </c>
      <c r="X297" s="41">
        <f t="shared" si="86"/>
        <v>6930</v>
      </c>
      <c r="Y297" s="80">
        <f t="shared" si="87"/>
        <v>83160</v>
      </c>
    </row>
    <row r="298" spans="1:25" ht="18.75" customHeight="1">
      <c r="A298" s="62">
        <v>11</v>
      </c>
      <c r="B298" s="63" t="s">
        <v>196</v>
      </c>
      <c r="C298" s="65">
        <v>1.5</v>
      </c>
      <c r="D298" s="65">
        <v>8</v>
      </c>
      <c r="E298" s="40">
        <v>1825</v>
      </c>
      <c r="F298" s="41">
        <f t="shared" si="82"/>
        <v>2737.5</v>
      </c>
      <c r="G298" s="41"/>
      <c r="H298" s="66">
        <f t="shared" si="83"/>
        <v>1369</v>
      </c>
      <c r="I298" s="66"/>
      <c r="J298" s="42"/>
      <c r="K298" s="42"/>
      <c r="L298" s="42"/>
      <c r="M298" s="42"/>
      <c r="N298" s="66">
        <f t="shared" si="84"/>
        <v>822</v>
      </c>
      <c r="O298" s="42"/>
      <c r="P298" s="42"/>
      <c r="Q298" s="42"/>
      <c r="R298" s="42"/>
      <c r="S298" s="42"/>
      <c r="T298" s="42"/>
      <c r="U298" s="42"/>
      <c r="V298" s="42"/>
      <c r="W298" s="42">
        <f t="shared" si="85"/>
        <v>2191</v>
      </c>
      <c r="X298" s="41">
        <f t="shared" si="86"/>
        <v>4928.5</v>
      </c>
      <c r="Y298" s="80">
        <f t="shared" si="87"/>
        <v>59142</v>
      </c>
    </row>
    <row r="299" spans="1:25" ht="22.5" customHeight="1">
      <c r="A299" s="62">
        <v>12</v>
      </c>
      <c r="B299" s="63" t="s">
        <v>197</v>
      </c>
      <c r="C299" s="65">
        <v>1</v>
      </c>
      <c r="D299" s="65">
        <v>8</v>
      </c>
      <c r="E299" s="40">
        <v>1825</v>
      </c>
      <c r="F299" s="41">
        <f t="shared" si="82"/>
        <v>1825</v>
      </c>
      <c r="G299" s="41"/>
      <c r="H299" s="66">
        <f t="shared" si="83"/>
        <v>913</v>
      </c>
      <c r="I299" s="66"/>
      <c r="J299" s="42"/>
      <c r="K299" s="42"/>
      <c r="L299" s="42"/>
      <c r="M299" s="42"/>
      <c r="N299" s="66">
        <f t="shared" si="84"/>
        <v>548</v>
      </c>
      <c r="O299" s="42"/>
      <c r="P299" s="42"/>
      <c r="Q299" s="42"/>
      <c r="R299" s="42"/>
      <c r="S299" s="42"/>
      <c r="T299" s="42"/>
      <c r="U299" s="42"/>
      <c r="V299" s="42"/>
      <c r="W299" s="42">
        <f t="shared" si="85"/>
        <v>1461</v>
      </c>
      <c r="X299" s="41">
        <f t="shared" si="86"/>
        <v>3286</v>
      </c>
      <c r="Y299" s="80">
        <f t="shared" si="87"/>
        <v>39432</v>
      </c>
    </row>
    <row r="300" spans="1:25" ht="22.5" customHeight="1">
      <c r="A300" s="62">
        <v>13</v>
      </c>
      <c r="B300" s="63" t="s">
        <v>198</v>
      </c>
      <c r="C300" s="65">
        <v>1</v>
      </c>
      <c r="D300" s="65">
        <v>9</v>
      </c>
      <c r="E300" s="40">
        <v>1925</v>
      </c>
      <c r="F300" s="41">
        <f t="shared" si="82"/>
        <v>1925</v>
      </c>
      <c r="G300" s="41"/>
      <c r="H300" s="43"/>
      <c r="I300" s="43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>
        <f t="shared" si="85"/>
        <v>0</v>
      </c>
      <c r="X300" s="41">
        <f t="shared" si="86"/>
        <v>1925</v>
      </c>
      <c r="Y300" s="80">
        <f t="shared" si="87"/>
        <v>23100</v>
      </c>
    </row>
    <row r="301" spans="1:25" ht="25.5" customHeight="1">
      <c r="A301" s="62"/>
      <c r="B301" s="63"/>
      <c r="C301" s="48">
        <f>SUM(C287:C300)</f>
        <v>56</v>
      </c>
      <c r="D301" s="48"/>
      <c r="E301" s="48"/>
      <c r="F301" s="84">
        <f>SUM(F287:F300)</f>
        <v>127621.5</v>
      </c>
      <c r="G301" s="84"/>
      <c r="H301" s="91">
        <f aca="true" t="shared" si="88" ref="H301:V301">SUM(H287:H300)</f>
        <v>62851</v>
      </c>
      <c r="I301" s="91">
        <f t="shared" si="88"/>
        <v>0</v>
      </c>
      <c r="J301" s="91">
        <f t="shared" si="88"/>
        <v>0</v>
      </c>
      <c r="K301" s="91">
        <f t="shared" si="88"/>
        <v>0</v>
      </c>
      <c r="L301" s="91">
        <f t="shared" si="88"/>
        <v>0</v>
      </c>
      <c r="M301" s="91">
        <f t="shared" si="88"/>
        <v>0</v>
      </c>
      <c r="N301" s="91">
        <f t="shared" si="88"/>
        <v>37714</v>
      </c>
      <c r="O301" s="91">
        <f t="shared" si="88"/>
        <v>0</v>
      </c>
      <c r="P301" s="91">
        <f t="shared" si="88"/>
        <v>0</v>
      </c>
      <c r="Q301" s="91">
        <f t="shared" si="88"/>
        <v>718</v>
      </c>
      <c r="R301" s="91">
        <f t="shared" si="88"/>
        <v>0</v>
      </c>
      <c r="S301" s="91">
        <f t="shared" si="88"/>
        <v>431</v>
      </c>
      <c r="T301" s="91">
        <f t="shared" si="88"/>
        <v>0</v>
      </c>
      <c r="U301" s="91">
        <f t="shared" si="88"/>
        <v>0</v>
      </c>
      <c r="V301" s="91">
        <f t="shared" si="88"/>
        <v>0</v>
      </c>
      <c r="W301" s="77">
        <f t="shared" si="85"/>
        <v>101714</v>
      </c>
      <c r="X301" s="47">
        <f>SUM(X287:X300)</f>
        <v>229335.5</v>
      </c>
      <c r="Y301" s="47">
        <f>SUM(Y287:Y300)</f>
        <v>2752026</v>
      </c>
    </row>
    <row r="302" spans="1:25" ht="19.5" customHeight="1">
      <c r="A302" s="290" t="s">
        <v>199</v>
      </c>
      <c r="B302" s="291"/>
      <c r="C302" s="291"/>
      <c r="D302" s="291"/>
      <c r="E302" s="291"/>
      <c r="F302" s="291"/>
      <c r="G302" s="291"/>
      <c r="H302" s="291"/>
      <c r="I302" s="291"/>
      <c r="J302" s="291"/>
      <c r="K302" s="291"/>
      <c r="L302" s="291"/>
      <c r="M302" s="291"/>
      <c r="N302" s="291"/>
      <c r="O302" s="291"/>
      <c r="P302" s="291"/>
      <c r="Q302" s="291"/>
      <c r="R302" s="291"/>
      <c r="S302" s="291"/>
      <c r="T302" s="291"/>
      <c r="U302" s="291"/>
      <c r="V302" s="291"/>
      <c r="W302" s="291"/>
      <c r="X302" s="292"/>
      <c r="Y302" s="62"/>
    </row>
    <row r="303" spans="1:25" ht="27.75" customHeight="1">
      <c r="A303" s="62">
        <v>1</v>
      </c>
      <c r="B303" s="109" t="s">
        <v>200</v>
      </c>
      <c r="C303" s="65">
        <v>1</v>
      </c>
      <c r="D303" s="94">
        <v>10</v>
      </c>
      <c r="E303" s="40">
        <v>2026</v>
      </c>
      <c r="F303" s="41">
        <f aca="true" t="shared" si="89" ref="F303:F329">E303*C303</f>
        <v>2026</v>
      </c>
      <c r="G303" s="41"/>
      <c r="H303" s="43"/>
      <c r="I303" s="43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3">
        <f aca="true" t="shared" si="90" ref="W303:W329">SUM(H303:V303)</f>
        <v>0</v>
      </c>
      <c r="X303" s="41">
        <f aca="true" t="shared" si="91" ref="X303:X329">C303*E303+W303</f>
        <v>2026</v>
      </c>
      <c r="Y303" s="80">
        <f aca="true" t="shared" si="92" ref="Y303:Y329">X303*12</f>
        <v>24312</v>
      </c>
    </row>
    <row r="304" spans="1:25" ht="27.75" customHeight="1">
      <c r="A304" s="62">
        <v>2</v>
      </c>
      <c r="B304" s="63" t="s">
        <v>65</v>
      </c>
      <c r="C304" s="65">
        <f>10+1+0.5</f>
        <v>11.5</v>
      </c>
      <c r="D304" s="65">
        <v>9</v>
      </c>
      <c r="E304" s="40">
        <v>1925</v>
      </c>
      <c r="F304" s="41">
        <f t="shared" si="89"/>
        <v>22137.5</v>
      </c>
      <c r="G304" s="41"/>
      <c r="H304" s="43"/>
      <c r="I304" s="43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3">
        <f t="shared" si="90"/>
        <v>0</v>
      </c>
      <c r="X304" s="41">
        <f t="shared" si="91"/>
        <v>22137.5</v>
      </c>
      <c r="Y304" s="80">
        <f t="shared" si="92"/>
        <v>265650</v>
      </c>
    </row>
    <row r="305" spans="1:25" ht="27.75" customHeight="1">
      <c r="A305" s="62">
        <v>3</v>
      </c>
      <c r="B305" s="63" t="s">
        <v>66</v>
      </c>
      <c r="C305" s="65">
        <v>5</v>
      </c>
      <c r="D305" s="65">
        <v>8</v>
      </c>
      <c r="E305" s="40">
        <v>1825</v>
      </c>
      <c r="F305" s="41">
        <f t="shared" si="89"/>
        <v>9125</v>
      </c>
      <c r="G305" s="41"/>
      <c r="H305" s="43"/>
      <c r="I305" s="43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>
        <f>ROUNDUP(E305*16%,0)</f>
        <v>292</v>
      </c>
      <c r="U305" s="42"/>
      <c r="V305" s="42"/>
      <c r="W305" s="43">
        <f t="shared" si="90"/>
        <v>292</v>
      </c>
      <c r="X305" s="41">
        <f t="shared" si="91"/>
        <v>9417</v>
      </c>
      <c r="Y305" s="80">
        <f t="shared" si="92"/>
        <v>113004</v>
      </c>
    </row>
    <row r="306" spans="1:25" ht="27.75" customHeight="1">
      <c r="A306" s="62">
        <v>4</v>
      </c>
      <c r="B306" s="63" t="s">
        <v>67</v>
      </c>
      <c r="C306" s="65">
        <v>0.5</v>
      </c>
      <c r="D306" s="65">
        <v>7</v>
      </c>
      <c r="E306" s="40">
        <v>1714</v>
      </c>
      <c r="F306" s="41">
        <f t="shared" si="89"/>
        <v>857</v>
      </c>
      <c r="G306" s="41"/>
      <c r="H306" s="43"/>
      <c r="I306" s="43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3">
        <f t="shared" si="90"/>
        <v>0</v>
      </c>
      <c r="X306" s="41">
        <f t="shared" si="91"/>
        <v>857</v>
      </c>
      <c r="Y306" s="80">
        <f t="shared" si="92"/>
        <v>10284</v>
      </c>
    </row>
    <row r="307" spans="1:25" ht="23.25" customHeight="1">
      <c r="A307" s="62">
        <v>5</v>
      </c>
      <c r="B307" s="63" t="s">
        <v>68</v>
      </c>
      <c r="C307" s="65">
        <f>12.5-1+1-2</f>
        <v>10.5</v>
      </c>
      <c r="D307" s="65">
        <v>7</v>
      </c>
      <c r="E307" s="40">
        <v>1714</v>
      </c>
      <c r="F307" s="41">
        <f t="shared" si="89"/>
        <v>17997</v>
      </c>
      <c r="G307" s="41"/>
      <c r="H307" s="43"/>
      <c r="I307" s="43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>
        <f>ROUNDUP(E307*8%,0)</f>
        <v>138</v>
      </c>
      <c r="U307" s="42"/>
      <c r="V307" s="42"/>
      <c r="W307" s="43">
        <f t="shared" si="90"/>
        <v>138</v>
      </c>
      <c r="X307" s="41">
        <f t="shared" si="91"/>
        <v>18135</v>
      </c>
      <c r="Y307" s="80">
        <f t="shared" si="92"/>
        <v>217620</v>
      </c>
    </row>
    <row r="308" spans="1:25" ht="23.25" customHeight="1">
      <c r="A308" s="62">
        <v>6</v>
      </c>
      <c r="B308" s="63" t="s">
        <v>201</v>
      </c>
      <c r="C308" s="65">
        <f>6+2-3</f>
        <v>5</v>
      </c>
      <c r="D308" s="65">
        <v>4</v>
      </c>
      <c r="E308" s="40">
        <v>1414</v>
      </c>
      <c r="F308" s="41">
        <f t="shared" si="89"/>
        <v>7070</v>
      </c>
      <c r="G308" s="41"/>
      <c r="H308" s="43"/>
      <c r="I308" s="43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3">
        <f t="shared" si="90"/>
        <v>0</v>
      </c>
      <c r="X308" s="41">
        <f t="shared" si="91"/>
        <v>7070</v>
      </c>
      <c r="Y308" s="80">
        <f t="shared" si="92"/>
        <v>84840</v>
      </c>
    </row>
    <row r="309" spans="1:25" ht="23.25" customHeight="1">
      <c r="A309" s="62">
        <v>7</v>
      </c>
      <c r="B309" s="63" t="s">
        <v>202</v>
      </c>
      <c r="C309" s="65">
        <v>1</v>
      </c>
      <c r="D309" s="65">
        <v>3</v>
      </c>
      <c r="E309" s="40">
        <v>1393</v>
      </c>
      <c r="F309" s="41">
        <f t="shared" si="89"/>
        <v>1393</v>
      </c>
      <c r="G309" s="41"/>
      <c r="H309" s="43"/>
      <c r="I309" s="43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3">
        <f t="shared" si="90"/>
        <v>0</v>
      </c>
      <c r="X309" s="41">
        <f t="shared" si="91"/>
        <v>1393</v>
      </c>
      <c r="Y309" s="80">
        <f t="shared" si="92"/>
        <v>16716</v>
      </c>
    </row>
    <row r="310" spans="1:25" ht="23.25" customHeight="1">
      <c r="A310" s="62">
        <v>8</v>
      </c>
      <c r="B310" s="63" t="s">
        <v>203</v>
      </c>
      <c r="C310" s="65">
        <v>1</v>
      </c>
      <c r="D310" s="65">
        <v>3</v>
      </c>
      <c r="E310" s="40">
        <v>1393</v>
      </c>
      <c r="F310" s="41">
        <f t="shared" si="89"/>
        <v>1393</v>
      </c>
      <c r="G310" s="41"/>
      <c r="H310" s="43"/>
      <c r="I310" s="43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3">
        <f t="shared" si="90"/>
        <v>0</v>
      </c>
      <c r="X310" s="41">
        <f t="shared" si="91"/>
        <v>1393</v>
      </c>
      <c r="Y310" s="80">
        <f t="shared" si="92"/>
        <v>16716</v>
      </c>
    </row>
    <row r="311" spans="1:25" ht="21" customHeight="1">
      <c r="A311" s="62">
        <v>9</v>
      </c>
      <c r="B311" s="63" t="s">
        <v>204</v>
      </c>
      <c r="C311" s="65">
        <v>11</v>
      </c>
      <c r="D311" s="65">
        <v>2</v>
      </c>
      <c r="E311" s="40">
        <v>1383</v>
      </c>
      <c r="F311" s="41">
        <f t="shared" si="89"/>
        <v>15213</v>
      </c>
      <c r="G311" s="41"/>
      <c r="H311" s="43"/>
      <c r="I311" s="43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0"/>
      <c r="W311" s="43">
        <f t="shared" si="90"/>
        <v>0</v>
      </c>
      <c r="X311" s="41">
        <f t="shared" si="91"/>
        <v>15213</v>
      </c>
      <c r="Y311" s="80">
        <f t="shared" si="92"/>
        <v>182556</v>
      </c>
    </row>
    <row r="312" spans="1:25" ht="21.75" customHeight="1">
      <c r="A312" s="62">
        <v>10</v>
      </c>
      <c r="B312" s="63" t="s">
        <v>137</v>
      </c>
      <c r="C312" s="65">
        <v>12.5</v>
      </c>
      <c r="D312" s="65">
        <v>2</v>
      </c>
      <c r="E312" s="40">
        <v>1383</v>
      </c>
      <c r="F312" s="41">
        <f t="shared" si="89"/>
        <v>17287.5</v>
      </c>
      <c r="G312" s="41"/>
      <c r="H312" s="43"/>
      <c r="I312" s="43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3">
        <f t="shared" si="90"/>
        <v>0</v>
      </c>
      <c r="X312" s="41">
        <f t="shared" si="91"/>
        <v>17287.5</v>
      </c>
      <c r="Y312" s="80">
        <f t="shared" si="92"/>
        <v>207450</v>
      </c>
    </row>
    <row r="313" spans="1:25" ht="22.5" customHeight="1">
      <c r="A313" s="62">
        <v>11</v>
      </c>
      <c r="B313" s="63" t="s">
        <v>135</v>
      </c>
      <c r="C313" s="65">
        <v>21</v>
      </c>
      <c r="D313" s="65">
        <v>2</v>
      </c>
      <c r="E313" s="40">
        <v>1383</v>
      </c>
      <c r="F313" s="41">
        <f t="shared" si="89"/>
        <v>29043</v>
      </c>
      <c r="G313" s="41"/>
      <c r="H313" s="43"/>
      <c r="I313" s="43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>
        <f>ROUNDUP(F313*10%,0)</f>
        <v>2905</v>
      </c>
      <c r="U313" s="42"/>
      <c r="V313" s="42"/>
      <c r="W313" s="43">
        <f t="shared" si="90"/>
        <v>2905</v>
      </c>
      <c r="X313" s="41">
        <f t="shared" si="91"/>
        <v>31948</v>
      </c>
      <c r="Y313" s="80">
        <f t="shared" si="92"/>
        <v>383376</v>
      </c>
    </row>
    <row r="314" spans="1:25" ht="27.75" customHeight="1">
      <c r="A314" s="62">
        <v>12</v>
      </c>
      <c r="B314" s="108" t="s">
        <v>205</v>
      </c>
      <c r="C314" s="65">
        <v>2</v>
      </c>
      <c r="D314" s="94">
        <v>5</v>
      </c>
      <c r="E314" s="40">
        <v>1514</v>
      </c>
      <c r="F314" s="41">
        <f t="shared" si="89"/>
        <v>3028</v>
      </c>
      <c r="G314" s="41"/>
      <c r="H314" s="43"/>
      <c r="I314" s="43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3">
        <f t="shared" si="90"/>
        <v>0</v>
      </c>
      <c r="X314" s="41">
        <f t="shared" si="91"/>
        <v>3028</v>
      </c>
      <c r="Y314" s="80">
        <f t="shared" si="92"/>
        <v>36336</v>
      </c>
    </row>
    <row r="315" spans="1:25" ht="27.75" customHeight="1">
      <c r="A315" s="62">
        <v>13</v>
      </c>
      <c r="B315" s="108" t="s">
        <v>206</v>
      </c>
      <c r="C315" s="65">
        <v>1</v>
      </c>
      <c r="D315" s="94">
        <v>3</v>
      </c>
      <c r="E315" s="40">
        <v>1393</v>
      </c>
      <c r="F315" s="41">
        <f t="shared" si="89"/>
        <v>1393</v>
      </c>
      <c r="G315" s="41"/>
      <c r="H315" s="43"/>
      <c r="I315" s="43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3">
        <f t="shared" si="90"/>
        <v>0</v>
      </c>
      <c r="X315" s="41">
        <f t="shared" si="91"/>
        <v>1393</v>
      </c>
      <c r="Y315" s="80">
        <f t="shared" si="92"/>
        <v>16716</v>
      </c>
    </row>
    <row r="316" spans="1:25" ht="27.75" customHeight="1">
      <c r="A316" s="62">
        <v>14</v>
      </c>
      <c r="B316" s="38" t="s">
        <v>149</v>
      </c>
      <c r="C316" s="62">
        <v>1</v>
      </c>
      <c r="D316" s="37">
        <v>5</v>
      </c>
      <c r="E316" s="40">
        <v>1514</v>
      </c>
      <c r="F316" s="80">
        <f t="shared" si="89"/>
        <v>1514</v>
      </c>
      <c r="G316" s="80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>
        <f t="shared" si="90"/>
        <v>0</v>
      </c>
      <c r="X316" s="80">
        <f t="shared" si="91"/>
        <v>1514</v>
      </c>
      <c r="Y316" s="80">
        <f t="shared" si="92"/>
        <v>18168</v>
      </c>
    </row>
    <row r="317" spans="1:25" ht="27.75" customHeight="1">
      <c r="A317" s="62">
        <v>15</v>
      </c>
      <c r="B317" s="63" t="s">
        <v>154</v>
      </c>
      <c r="C317" s="65">
        <v>1</v>
      </c>
      <c r="D317" s="94">
        <v>4</v>
      </c>
      <c r="E317" s="40">
        <v>1414</v>
      </c>
      <c r="F317" s="41">
        <f t="shared" si="89"/>
        <v>1414</v>
      </c>
      <c r="G317" s="41"/>
      <c r="H317" s="43"/>
      <c r="I317" s="43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3">
        <f t="shared" si="90"/>
        <v>0</v>
      </c>
      <c r="X317" s="41">
        <f t="shared" si="91"/>
        <v>1414</v>
      </c>
      <c r="Y317" s="80">
        <f t="shared" si="92"/>
        <v>16968</v>
      </c>
    </row>
    <row r="318" spans="1:25" ht="27.75" customHeight="1">
      <c r="A318" s="62">
        <v>16</v>
      </c>
      <c r="B318" s="108" t="s">
        <v>207</v>
      </c>
      <c r="C318" s="65">
        <v>1</v>
      </c>
      <c r="D318" s="94">
        <v>3</v>
      </c>
      <c r="E318" s="40">
        <v>1393</v>
      </c>
      <c r="F318" s="41">
        <f t="shared" si="89"/>
        <v>1393</v>
      </c>
      <c r="G318" s="41"/>
      <c r="H318" s="43"/>
      <c r="I318" s="43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3">
        <f t="shared" si="90"/>
        <v>0</v>
      </c>
      <c r="X318" s="41">
        <f t="shared" si="91"/>
        <v>1393</v>
      </c>
      <c r="Y318" s="80">
        <f t="shared" si="92"/>
        <v>16716</v>
      </c>
    </row>
    <row r="319" spans="1:25" ht="27.75" customHeight="1">
      <c r="A319" s="62">
        <v>17</v>
      </c>
      <c r="B319" s="108" t="s">
        <v>208</v>
      </c>
      <c r="C319" s="65">
        <v>2</v>
      </c>
      <c r="D319" s="94">
        <v>3</v>
      </c>
      <c r="E319" s="40">
        <v>1393</v>
      </c>
      <c r="F319" s="41">
        <f t="shared" si="89"/>
        <v>2786</v>
      </c>
      <c r="G319" s="41"/>
      <c r="H319" s="43"/>
      <c r="I319" s="43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3">
        <f t="shared" si="90"/>
        <v>0</v>
      </c>
      <c r="X319" s="41">
        <f t="shared" si="91"/>
        <v>2786</v>
      </c>
      <c r="Y319" s="80">
        <f t="shared" si="92"/>
        <v>33432</v>
      </c>
    </row>
    <row r="320" spans="1:25" ht="27.75" customHeight="1">
      <c r="A320" s="62">
        <v>18</v>
      </c>
      <c r="B320" s="108" t="s">
        <v>209</v>
      </c>
      <c r="C320" s="65">
        <f>2+1</f>
        <v>3</v>
      </c>
      <c r="D320" s="94">
        <v>4</v>
      </c>
      <c r="E320" s="40">
        <v>1414</v>
      </c>
      <c r="F320" s="41">
        <f t="shared" si="89"/>
        <v>4242</v>
      </c>
      <c r="G320" s="41"/>
      <c r="H320" s="43"/>
      <c r="I320" s="43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3">
        <f t="shared" si="90"/>
        <v>0</v>
      </c>
      <c r="X320" s="41">
        <f t="shared" si="91"/>
        <v>4242</v>
      </c>
      <c r="Y320" s="80">
        <f t="shared" si="92"/>
        <v>50904</v>
      </c>
    </row>
    <row r="321" spans="1:25" ht="18" customHeight="1">
      <c r="A321" s="62">
        <v>19</v>
      </c>
      <c r="B321" s="63" t="s">
        <v>210</v>
      </c>
      <c r="C321" s="65">
        <v>2</v>
      </c>
      <c r="D321" s="65">
        <v>5</v>
      </c>
      <c r="E321" s="40">
        <v>1514</v>
      </c>
      <c r="F321" s="41">
        <f t="shared" si="89"/>
        <v>3028</v>
      </c>
      <c r="G321" s="41"/>
      <c r="H321" s="43"/>
      <c r="I321" s="43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3">
        <f t="shared" si="90"/>
        <v>0</v>
      </c>
      <c r="X321" s="41">
        <f t="shared" si="91"/>
        <v>3028</v>
      </c>
      <c r="Y321" s="80">
        <f t="shared" si="92"/>
        <v>36336</v>
      </c>
    </row>
    <row r="322" spans="1:25" ht="18.75" customHeight="1">
      <c r="A322" s="62">
        <v>20</v>
      </c>
      <c r="B322" s="63" t="s">
        <v>211</v>
      </c>
      <c r="C322" s="65">
        <v>1</v>
      </c>
      <c r="D322" s="65">
        <v>5</v>
      </c>
      <c r="E322" s="40">
        <v>1514</v>
      </c>
      <c r="F322" s="41">
        <f t="shared" si="89"/>
        <v>1514</v>
      </c>
      <c r="G322" s="41"/>
      <c r="H322" s="43"/>
      <c r="I322" s="43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3">
        <f t="shared" si="90"/>
        <v>0</v>
      </c>
      <c r="X322" s="41">
        <f t="shared" si="91"/>
        <v>1514</v>
      </c>
      <c r="Y322" s="80">
        <f t="shared" si="92"/>
        <v>18168</v>
      </c>
    </row>
    <row r="323" spans="1:25" ht="21" customHeight="1">
      <c r="A323" s="62">
        <v>21</v>
      </c>
      <c r="B323" s="63" t="s">
        <v>212</v>
      </c>
      <c r="C323" s="65">
        <v>1</v>
      </c>
      <c r="D323" s="94">
        <v>4</v>
      </c>
      <c r="E323" s="40">
        <v>1414</v>
      </c>
      <c r="F323" s="41">
        <f t="shared" si="89"/>
        <v>1414</v>
      </c>
      <c r="G323" s="41"/>
      <c r="H323" s="43"/>
      <c r="I323" s="43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3">
        <f t="shared" si="90"/>
        <v>0</v>
      </c>
      <c r="X323" s="41">
        <f t="shared" si="91"/>
        <v>1414</v>
      </c>
      <c r="Y323" s="80">
        <f t="shared" si="92"/>
        <v>16968</v>
      </c>
    </row>
    <row r="324" spans="1:25" ht="26.25" customHeight="1">
      <c r="A324" s="62">
        <v>22</v>
      </c>
      <c r="B324" s="108" t="s">
        <v>213</v>
      </c>
      <c r="C324" s="65">
        <v>2</v>
      </c>
      <c r="D324" s="94">
        <v>3</v>
      </c>
      <c r="E324" s="40">
        <v>1393</v>
      </c>
      <c r="F324" s="41">
        <f t="shared" si="89"/>
        <v>2786</v>
      </c>
      <c r="G324" s="41"/>
      <c r="H324" s="43"/>
      <c r="I324" s="43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3">
        <f t="shared" si="90"/>
        <v>0</v>
      </c>
      <c r="X324" s="41">
        <f t="shared" si="91"/>
        <v>2786</v>
      </c>
      <c r="Y324" s="80">
        <f t="shared" si="92"/>
        <v>33432</v>
      </c>
    </row>
    <row r="325" spans="1:25" ht="19.5" customHeight="1">
      <c r="A325" s="62">
        <v>23</v>
      </c>
      <c r="B325" s="63" t="s">
        <v>214</v>
      </c>
      <c r="C325" s="65">
        <v>2</v>
      </c>
      <c r="D325" s="65">
        <v>5</v>
      </c>
      <c r="E325" s="40">
        <v>1514</v>
      </c>
      <c r="F325" s="41">
        <f t="shared" si="89"/>
        <v>3028</v>
      </c>
      <c r="G325" s="41"/>
      <c r="H325" s="43"/>
      <c r="I325" s="43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3">
        <f t="shared" si="90"/>
        <v>0</v>
      </c>
      <c r="X325" s="41">
        <f t="shared" si="91"/>
        <v>3028</v>
      </c>
      <c r="Y325" s="80">
        <f t="shared" si="92"/>
        <v>36336</v>
      </c>
    </row>
    <row r="326" spans="1:25" ht="20.25" customHeight="1">
      <c r="A326" s="62">
        <v>24</v>
      </c>
      <c r="B326" s="63" t="s">
        <v>174</v>
      </c>
      <c r="C326" s="65">
        <v>1</v>
      </c>
      <c r="D326" s="94">
        <v>3</v>
      </c>
      <c r="E326" s="40">
        <v>1393</v>
      </c>
      <c r="F326" s="41">
        <f t="shared" si="89"/>
        <v>1393</v>
      </c>
      <c r="G326" s="41"/>
      <c r="H326" s="43"/>
      <c r="I326" s="43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3">
        <f t="shared" si="90"/>
        <v>0</v>
      </c>
      <c r="X326" s="41">
        <f t="shared" si="91"/>
        <v>1393</v>
      </c>
      <c r="Y326" s="80">
        <f t="shared" si="92"/>
        <v>16716</v>
      </c>
    </row>
    <row r="327" spans="1:25" ht="16.5" customHeight="1">
      <c r="A327" s="62">
        <v>25</v>
      </c>
      <c r="B327" s="63" t="s">
        <v>215</v>
      </c>
      <c r="C327" s="65">
        <v>1</v>
      </c>
      <c r="D327" s="65">
        <v>4</v>
      </c>
      <c r="E327" s="40">
        <v>1414</v>
      </c>
      <c r="F327" s="41">
        <f t="shared" si="89"/>
        <v>1414</v>
      </c>
      <c r="G327" s="41"/>
      <c r="H327" s="43"/>
      <c r="I327" s="43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3">
        <f t="shared" si="90"/>
        <v>0</v>
      </c>
      <c r="X327" s="41">
        <f t="shared" si="91"/>
        <v>1414</v>
      </c>
      <c r="Y327" s="80">
        <f t="shared" si="92"/>
        <v>16968</v>
      </c>
    </row>
    <row r="328" spans="1:25" ht="14.25" customHeight="1">
      <c r="A328" s="62">
        <v>26</v>
      </c>
      <c r="B328" s="63" t="s">
        <v>139</v>
      </c>
      <c r="C328" s="62">
        <v>2</v>
      </c>
      <c r="D328" s="62">
        <v>1</v>
      </c>
      <c r="E328" s="40">
        <v>1378</v>
      </c>
      <c r="F328" s="80">
        <f t="shared" si="89"/>
        <v>2756</v>
      </c>
      <c r="G328" s="80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>
        <f t="shared" si="90"/>
        <v>0</v>
      </c>
      <c r="X328" s="80">
        <f t="shared" si="91"/>
        <v>2756</v>
      </c>
      <c r="Y328" s="80">
        <f t="shared" si="92"/>
        <v>33072</v>
      </c>
    </row>
    <row r="329" spans="1:25" ht="24" customHeight="1">
      <c r="A329" s="62">
        <v>27</v>
      </c>
      <c r="B329" s="108" t="s">
        <v>216</v>
      </c>
      <c r="C329" s="65">
        <v>1</v>
      </c>
      <c r="D329" s="94">
        <v>5</v>
      </c>
      <c r="E329" s="40">
        <v>1514</v>
      </c>
      <c r="F329" s="41">
        <f t="shared" si="89"/>
        <v>1514</v>
      </c>
      <c r="G329" s="41"/>
      <c r="H329" s="43"/>
      <c r="I329" s="43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3">
        <f t="shared" si="90"/>
        <v>0</v>
      </c>
      <c r="X329" s="41">
        <f t="shared" si="91"/>
        <v>1514</v>
      </c>
      <c r="Y329" s="80">
        <f t="shared" si="92"/>
        <v>18168</v>
      </c>
    </row>
    <row r="330" spans="1:25" ht="27.75" customHeight="1">
      <c r="A330" s="62"/>
      <c r="B330" s="63"/>
      <c r="C330" s="48">
        <f>SUM(C303:C329)</f>
        <v>104</v>
      </c>
      <c r="D330" s="65"/>
      <c r="E330" s="48"/>
      <c r="F330" s="84">
        <f>SUM(F303:F329)</f>
        <v>158159</v>
      </c>
      <c r="G330" s="84"/>
      <c r="H330" s="84">
        <f aca="true" t="shared" si="93" ref="H330:Y330">SUM(H303:H329)</f>
        <v>0</v>
      </c>
      <c r="I330" s="84">
        <f t="shared" si="93"/>
        <v>0</v>
      </c>
      <c r="J330" s="84">
        <f t="shared" si="93"/>
        <v>0</v>
      </c>
      <c r="K330" s="84">
        <f t="shared" si="93"/>
        <v>0</v>
      </c>
      <c r="L330" s="84">
        <f t="shared" si="93"/>
        <v>0</v>
      </c>
      <c r="M330" s="84">
        <f t="shared" si="93"/>
        <v>0</v>
      </c>
      <c r="N330" s="84">
        <f t="shared" si="93"/>
        <v>0</v>
      </c>
      <c r="O330" s="84">
        <f t="shared" si="93"/>
        <v>0</v>
      </c>
      <c r="P330" s="84">
        <f t="shared" si="93"/>
        <v>0</v>
      </c>
      <c r="Q330" s="84">
        <f t="shared" si="93"/>
        <v>0</v>
      </c>
      <c r="R330" s="84">
        <f t="shared" si="93"/>
        <v>0</v>
      </c>
      <c r="S330" s="84">
        <f t="shared" si="93"/>
        <v>0</v>
      </c>
      <c r="T330" s="91">
        <f t="shared" si="93"/>
        <v>3335</v>
      </c>
      <c r="U330" s="110">
        <f t="shared" si="93"/>
        <v>0</v>
      </c>
      <c r="V330" s="91">
        <f t="shared" si="93"/>
        <v>0</v>
      </c>
      <c r="W330" s="84">
        <f t="shared" si="93"/>
        <v>3335</v>
      </c>
      <c r="X330" s="47">
        <f t="shared" si="93"/>
        <v>161494</v>
      </c>
      <c r="Y330" s="47">
        <f t="shared" si="93"/>
        <v>1937928</v>
      </c>
    </row>
    <row r="331" spans="1:25" ht="21.75" customHeight="1">
      <c r="A331" s="290" t="s">
        <v>217</v>
      </c>
      <c r="B331" s="291"/>
      <c r="C331" s="291"/>
      <c r="D331" s="291"/>
      <c r="E331" s="291"/>
      <c r="F331" s="291"/>
      <c r="G331" s="291"/>
      <c r="H331" s="291"/>
      <c r="I331" s="291"/>
      <c r="J331" s="291"/>
      <c r="K331" s="291"/>
      <c r="L331" s="291"/>
      <c r="M331" s="291"/>
      <c r="N331" s="291"/>
      <c r="O331" s="291"/>
      <c r="P331" s="291"/>
      <c r="Q331" s="291"/>
      <c r="R331" s="291"/>
      <c r="S331" s="291"/>
      <c r="T331" s="291"/>
      <c r="U331" s="291"/>
      <c r="V331" s="291"/>
      <c r="W331" s="291"/>
      <c r="X331" s="291"/>
      <c r="Y331" s="292"/>
    </row>
    <row r="332" spans="1:25" ht="42.75" customHeight="1">
      <c r="A332" s="62">
        <v>1</v>
      </c>
      <c r="B332" s="93" t="s">
        <v>218</v>
      </c>
      <c r="C332" s="62">
        <v>1</v>
      </c>
      <c r="D332" s="62">
        <v>12</v>
      </c>
      <c r="E332" s="37">
        <v>2360</v>
      </c>
      <c r="F332" s="76">
        <f>E332*C332</f>
        <v>2360</v>
      </c>
      <c r="G332" s="76"/>
      <c r="H332" s="43"/>
      <c r="I332" s="43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>
        <f>SUM(H332:V332)</f>
        <v>0</v>
      </c>
      <c r="X332" s="41">
        <f>C332*E332+W332</f>
        <v>2360</v>
      </c>
      <c r="Y332" s="80">
        <f>X332*12</f>
        <v>28320</v>
      </c>
    </row>
    <row r="333" spans="1:25" ht="40.5" customHeight="1">
      <c r="A333" s="62">
        <v>2</v>
      </c>
      <c r="B333" s="93" t="s">
        <v>219</v>
      </c>
      <c r="C333" s="62">
        <v>1</v>
      </c>
      <c r="D333" s="62"/>
      <c r="E333" s="37">
        <v>2242</v>
      </c>
      <c r="F333" s="76">
        <f>E333*C333</f>
        <v>2242</v>
      </c>
      <c r="G333" s="76"/>
      <c r="H333" s="43"/>
      <c r="I333" s="43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>
        <f>SUM(H333:V333)</f>
        <v>0</v>
      </c>
      <c r="X333" s="41">
        <f>C333*E333+W333</f>
        <v>2242</v>
      </c>
      <c r="Y333" s="80">
        <f>X333*12</f>
        <v>26904</v>
      </c>
    </row>
    <row r="334" spans="1:25" ht="29.25" customHeight="1">
      <c r="A334" s="62">
        <v>3</v>
      </c>
      <c r="B334" s="93" t="s">
        <v>220</v>
      </c>
      <c r="C334" s="62">
        <v>1</v>
      </c>
      <c r="D334" s="62">
        <v>10</v>
      </c>
      <c r="E334" s="37">
        <v>2026</v>
      </c>
      <c r="F334" s="76">
        <f>E334*C334</f>
        <v>2026</v>
      </c>
      <c r="G334" s="76"/>
      <c r="H334" s="43"/>
      <c r="I334" s="43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>
        <f>SUM(H334:V334)</f>
        <v>0</v>
      </c>
      <c r="X334" s="41">
        <f>C334*E334+W334</f>
        <v>2026</v>
      </c>
      <c r="Y334" s="80">
        <f>X334*12</f>
        <v>24312</v>
      </c>
    </row>
    <row r="335" spans="1:25" ht="19.5" customHeight="1">
      <c r="A335" s="62">
        <v>4</v>
      </c>
      <c r="B335" s="63" t="s">
        <v>221</v>
      </c>
      <c r="C335" s="62">
        <f>3+1</f>
        <v>4</v>
      </c>
      <c r="D335" s="62">
        <v>9</v>
      </c>
      <c r="E335" s="37">
        <v>1925</v>
      </c>
      <c r="F335" s="76">
        <f>E335*C335</f>
        <v>7700</v>
      </c>
      <c r="G335" s="76"/>
      <c r="H335" s="43"/>
      <c r="I335" s="43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>
        <f>SUM(H335:V335)</f>
        <v>0</v>
      </c>
      <c r="X335" s="41">
        <f>C335*E335+W335</f>
        <v>7700</v>
      </c>
      <c r="Y335" s="80">
        <f>X335*12</f>
        <v>92400</v>
      </c>
    </row>
    <row r="336" spans="1:25" ht="19.5" customHeight="1">
      <c r="A336" s="111">
        <v>5</v>
      </c>
      <c r="B336" s="63" t="s">
        <v>222</v>
      </c>
      <c r="C336" s="62">
        <v>2</v>
      </c>
      <c r="D336" s="62">
        <v>7</v>
      </c>
      <c r="E336" s="37">
        <v>1714</v>
      </c>
      <c r="F336" s="76">
        <f>E336*C336</f>
        <v>3428</v>
      </c>
      <c r="G336" s="76"/>
      <c r="H336" s="43"/>
      <c r="I336" s="43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>
        <f>SUM(H336:V336)</f>
        <v>0</v>
      </c>
      <c r="X336" s="41">
        <f>C336*E336+W336</f>
        <v>3428</v>
      </c>
      <c r="Y336" s="80">
        <f>X336*12</f>
        <v>41136</v>
      </c>
    </row>
    <row r="337" spans="1:25" ht="16.5" customHeight="1">
      <c r="A337" s="62"/>
      <c r="B337" s="63"/>
      <c r="C337" s="83">
        <f>SUM(C332:C336)</f>
        <v>9</v>
      </c>
      <c r="D337" s="83"/>
      <c r="E337" s="83"/>
      <c r="F337" s="84">
        <f>SUM(F332:F336)</f>
        <v>17756</v>
      </c>
      <c r="G337" s="84"/>
      <c r="H337" s="84">
        <f aca="true" t="shared" si="94" ref="H337:Y337">SUM(H332:H336)</f>
        <v>0</v>
      </c>
      <c r="I337" s="84">
        <f t="shared" si="94"/>
        <v>0</v>
      </c>
      <c r="J337" s="84">
        <f t="shared" si="94"/>
        <v>0</v>
      </c>
      <c r="K337" s="84">
        <f t="shared" si="94"/>
        <v>0</v>
      </c>
      <c r="L337" s="84">
        <f t="shared" si="94"/>
        <v>0</v>
      </c>
      <c r="M337" s="84">
        <f t="shared" si="94"/>
        <v>0</v>
      </c>
      <c r="N337" s="84">
        <f t="shared" si="94"/>
        <v>0</v>
      </c>
      <c r="O337" s="84">
        <f t="shared" si="94"/>
        <v>0</v>
      </c>
      <c r="P337" s="84">
        <f t="shared" si="94"/>
        <v>0</v>
      </c>
      <c r="Q337" s="84">
        <f t="shared" si="94"/>
        <v>0</v>
      </c>
      <c r="R337" s="84">
        <f t="shared" si="94"/>
        <v>0</v>
      </c>
      <c r="S337" s="84">
        <f t="shared" si="94"/>
        <v>0</v>
      </c>
      <c r="T337" s="84">
        <f t="shared" si="94"/>
        <v>0</v>
      </c>
      <c r="U337" s="84">
        <f t="shared" si="94"/>
        <v>0</v>
      </c>
      <c r="V337" s="84">
        <f t="shared" si="94"/>
        <v>0</v>
      </c>
      <c r="W337" s="84">
        <f t="shared" si="94"/>
        <v>0</v>
      </c>
      <c r="X337" s="84">
        <f t="shared" si="94"/>
        <v>17756</v>
      </c>
      <c r="Y337" s="84">
        <f t="shared" si="94"/>
        <v>213072</v>
      </c>
    </row>
    <row r="338" spans="1:25" ht="19.5" customHeight="1">
      <c r="A338" s="290" t="s">
        <v>223</v>
      </c>
      <c r="B338" s="291"/>
      <c r="C338" s="291"/>
      <c r="D338" s="291"/>
      <c r="E338" s="291"/>
      <c r="F338" s="291"/>
      <c r="G338" s="291"/>
      <c r="H338" s="291"/>
      <c r="I338" s="291"/>
      <c r="J338" s="291"/>
      <c r="K338" s="291"/>
      <c r="L338" s="291"/>
      <c r="M338" s="291"/>
      <c r="N338" s="291"/>
      <c r="O338" s="291"/>
      <c r="P338" s="291"/>
      <c r="Q338" s="291"/>
      <c r="R338" s="291"/>
      <c r="S338" s="291"/>
      <c r="T338" s="291"/>
      <c r="U338" s="291"/>
      <c r="V338" s="291"/>
      <c r="W338" s="291"/>
      <c r="X338" s="291"/>
      <c r="Y338" s="292"/>
    </row>
    <row r="339" spans="1:25" ht="26.25" customHeight="1">
      <c r="A339" s="62">
        <v>1</v>
      </c>
      <c r="B339" s="108" t="s">
        <v>224</v>
      </c>
      <c r="C339" s="62">
        <v>1</v>
      </c>
      <c r="D339" s="112">
        <v>10</v>
      </c>
      <c r="E339" s="37">
        <v>2026</v>
      </c>
      <c r="F339" s="76">
        <f>E339*C339</f>
        <v>2026</v>
      </c>
      <c r="G339" s="76"/>
      <c r="H339" s="43"/>
      <c r="I339" s="43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>
        <f>SUM(H339:V339)</f>
        <v>0</v>
      </c>
      <c r="X339" s="41">
        <f>C339*E339+W339</f>
        <v>2026</v>
      </c>
      <c r="Y339" s="80">
        <f>X339*12</f>
        <v>24312</v>
      </c>
    </row>
    <row r="340" spans="1:25" ht="19.5" customHeight="1">
      <c r="A340" s="62">
        <v>2</v>
      </c>
      <c r="B340" s="63" t="s">
        <v>85</v>
      </c>
      <c r="C340" s="62">
        <v>4</v>
      </c>
      <c r="D340" s="62">
        <v>7</v>
      </c>
      <c r="E340" s="37">
        <v>1714</v>
      </c>
      <c r="F340" s="76">
        <f>E340*C340</f>
        <v>6856</v>
      </c>
      <c r="G340" s="76"/>
      <c r="H340" s="43"/>
      <c r="I340" s="43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>
        <f>SUM(H340:V340)</f>
        <v>0</v>
      </c>
      <c r="X340" s="41">
        <f>C340*E340+W340</f>
        <v>6856</v>
      </c>
      <c r="Y340" s="80">
        <f>X340*12</f>
        <v>82272</v>
      </c>
    </row>
    <row r="341" spans="1:25" ht="19.5" customHeight="1">
      <c r="A341" s="62">
        <v>3</v>
      </c>
      <c r="B341" s="63" t="s">
        <v>68</v>
      </c>
      <c r="C341" s="62">
        <v>1</v>
      </c>
      <c r="D341" s="62">
        <v>7</v>
      </c>
      <c r="E341" s="37">
        <v>1714</v>
      </c>
      <c r="F341" s="76">
        <f>E341*C341</f>
        <v>1714</v>
      </c>
      <c r="G341" s="76"/>
      <c r="H341" s="43"/>
      <c r="I341" s="43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>
        <f>SUM(H341:V341)</f>
        <v>0</v>
      </c>
      <c r="X341" s="41">
        <f>C341*E341+W341</f>
        <v>1714</v>
      </c>
      <c r="Y341" s="80">
        <f>X341*12</f>
        <v>20568</v>
      </c>
    </row>
    <row r="342" spans="1:25" ht="19.5" customHeight="1">
      <c r="A342" s="62">
        <v>4</v>
      </c>
      <c r="B342" s="63" t="s">
        <v>136</v>
      </c>
      <c r="C342" s="62">
        <v>1.5</v>
      </c>
      <c r="D342" s="62">
        <v>5</v>
      </c>
      <c r="E342" s="37">
        <v>1514</v>
      </c>
      <c r="F342" s="76">
        <f>E342*C342</f>
        <v>2271</v>
      </c>
      <c r="G342" s="76"/>
      <c r="H342" s="43"/>
      <c r="I342" s="43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>
        <f>SUM(H342:V342)</f>
        <v>0</v>
      </c>
      <c r="X342" s="41">
        <f>C342*E342+W342</f>
        <v>2271</v>
      </c>
      <c r="Y342" s="80">
        <f>X342*12</f>
        <v>27252</v>
      </c>
    </row>
    <row r="343" spans="1:25" ht="19.5" customHeight="1">
      <c r="A343" s="62"/>
      <c r="B343" s="63"/>
      <c r="C343" s="83">
        <f>SUM(C339:C342)</f>
        <v>7.5</v>
      </c>
      <c r="D343" s="83"/>
      <c r="E343" s="83"/>
      <c r="F343" s="84">
        <f>SUM(F339:F342)</f>
        <v>12867</v>
      </c>
      <c r="G343" s="84"/>
      <c r="H343" s="83">
        <f aca="true" t="shared" si="95" ref="H343:Y343">SUM(H339:H342)</f>
        <v>0</v>
      </c>
      <c r="I343" s="83">
        <f t="shared" si="95"/>
        <v>0</v>
      </c>
      <c r="J343" s="83">
        <f t="shared" si="95"/>
        <v>0</v>
      </c>
      <c r="K343" s="83">
        <f t="shared" si="95"/>
        <v>0</v>
      </c>
      <c r="L343" s="83">
        <f t="shared" si="95"/>
        <v>0</v>
      </c>
      <c r="M343" s="83">
        <f t="shared" si="95"/>
        <v>0</v>
      </c>
      <c r="N343" s="83">
        <f t="shared" si="95"/>
        <v>0</v>
      </c>
      <c r="O343" s="83">
        <f t="shared" si="95"/>
        <v>0</v>
      </c>
      <c r="P343" s="83">
        <f t="shared" si="95"/>
        <v>0</v>
      </c>
      <c r="Q343" s="83">
        <f t="shared" si="95"/>
        <v>0</v>
      </c>
      <c r="R343" s="83">
        <f t="shared" si="95"/>
        <v>0</v>
      </c>
      <c r="S343" s="83">
        <f t="shared" si="95"/>
        <v>0</v>
      </c>
      <c r="T343" s="83">
        <f t="shared" si="95"/>
        <v>0</v>
      </c>
      <c r="U343" s="83">
        <f t="shared" si="95"/>
        <v>0</v>
      </c>
      <c r="V343" s="83">
        <f t="shared" si="95"/>
        <v>0</v>
      </c>
      <c r="W343" s="83">
        <f t="shared" si="95"/>
        <v>0</v>
      </c>
      <c r="X343" s="47">
        <f t="shared" si="95"/>
        <v>12867</v>
      </c>
      <c r="Y343" s="47">
        <f t="shared" si="95"/>
        <v>154404</v>
      </c>
    </row>
    <row r="344" spans="1:25" ht="18" customHeight="1">
      <c r="A344" s="290" t="s">
        <v>225</v>
      </c>
      <c r="B344" s="291"/>
      <c r="C344" s="291"/>
      <c r="D344" s="291"/>
      <c r="E344" s="291"/>
      <c r="F344" s="291"/>
      <c r="G344" s="291"/>
      <c r="H344" s="291"/>
      <c r="I344" s="291"/>
      <c r="J344" s="291"/>
      <c r="K344" s="291"/>
      <c r="L344" s="291"/>
      <c r="M344" s="291"/>
      <c r="N344" s="291"/>
      <c r="O344" s="291"/>
      <c r="P344" s="291"/>
      <c r="Q344" s="291"/>
      <c r="R344" s="291"/>
      <c r="S344" s="291"/>
      <c r="T344" s="291"/>
      <c r="U344" s="291"/>
      <c r="V344" s="291"/>
      <c r="W344" s="291"/>
      <c r="X344" s="291"/>
      <c r="Y344" s="292"/>
    </row>
    <row r="345" spans="1:25" ht="19.5" customHeight="1">
      <c r="A345" s="62">
        <v>1</v>
      </c>
      <c r="B345" s="63" t="s">
        <v>84</v>
      </c>
      <c r="C345" s="62">
        <v>1</v>
      </c>
      <c r="D345" s="62">
        <v>10</v>
      </c>
      <c r="E345" s="37">
        <v>2026</v>
      </c>
      <c r="F345" s="76">
        <f>E345*C345</f>
        <v>2026</v>
      </c>
      <c r="G345" s="76"/>
      <c r="H345" s="43"/>
      <c r="I345" s="43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3">
        <f>SUM(H345:V345)</f>
        <v>0</v>
      </c>
      <c r="X345" s="41">
        <f>C345*E345+W345</f>
        <v>2026</v>
      </c>
      <c r="Y345" s="80">
        <f>X345*12</f>
        <v>24312</v>
      </c>
    </row>
    <row r="346" spans="1:25" ht="19.5" customHeight="1">
      <c r="A346" s="62">
        <v>2</v>
      </c>
      <c r="B346" s="108" t="s">
        <v>92</v>
      </c>
      <c r="C346" s="62">
        <v>3</v>
      </c>
      <c r="D346" s="112">
        <v>5</v>
      </c>
      <c r="E346" s="37">
        <v>1514</v>
      </c>
      <c r="F346" s="76">
        <f>E346*C346</f>
        <v>4542</v>
      </c>
      <c r="G346" s="76"/>
      <c r="H346" s="43"/>
      <c r="I346" s="43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3">
        <f>SUM(H346:V346)</f>
        <v>0</v>
      </c>
      <c r="X346" s="41">
        <f>C346*E346+W346</f>
        <v>4542</v>
      </c>
      <c r="Y346" s="80">
        <f>X346*12</f>
        <v>54504</v>
      </c>
    </row>
    <row r="347" spans="1:25" ht="19.5" customHeight="1">
      <c r="A347" s="62">
        <v>3</v>
      </c>
      <c r="B347" s="63" t="s">
        <v>204</v>
      </c>
      <c r="C347" s="62">
        <f>109.5+4+6.5+10-7+6+8</f>
        <v>137</v>
      </c>
      <c r="D347" s="62">
        <v>2</v>
      </c>
      <c r="E347" s="37">
        <v>1383</v>
      </c>
      <c r="F347" s="76">
        <f>E347*C347</f>
        <v>189471</v>
      </c>
      <c r="G347" s="76"/>
      <c r="H347" s="43"/>
      <c r="I347" s="43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>
        <v>71363</v>
      </c>
      <c r="W347" s="66">
        <f>SUM(H347:V347)</f>
        <v>71363</v>
      </c>
      <c r="X347" s="41">
        <f>C347*E347+W347</f>
        <v>260834</v>
      </c>
      <c r="Y347" s="80">
        <f>X347*12</f>
        <v>3130008</v>
      </c>
    </row>
    <row r="348" spans="1:25" ht="19.5" customHeight="1">
      <c r="A348" s="62"/>
      <c r="B348" s="63"/>
      <c r="C348" s="83">
        <f>SUM(C345:C347)</f>
        <v>141</v>
      </c>
      <c r="D348" s="83"/>
      <c r="E348" s="83"/>
      <c r="F348" s="84">
        <f>SUM(F345:F347)</f>
        <v>196039</v>
      </c>
      <c r="G348" s="84"/>
      <c r="H348" s="84">
        <f aca="true" t="shared" si="96" ref="H348:Y348">SUM(H345:H347)</f>
        <v>0</v>
      </c>
      <c r="I348" s="84">
        <f t="shared" si="96"/>
        <v>0</v>
      </c>
      <c r="J348" s="84">
        <f t="shared" si="96"/>
        <v>0</v>
      </c>
      <c r="K348" s="84">
        <f t="shared" si="96"/>
        <v>0</v>
      </c>
      <c r="L348" s="84">
        <f t="shared" si="96"/>
        <v>0</v>
      </c>
      <c r="M348" s="84">
        <f t="shared" si="96"/>
        <v>0</v>
      </c>
      <c r="N348" s="84">
        <f t="shared" si="96"/>
        <v>0</v>
      </c>
      <c r="O348" s="84">
        <f t="shared" si="96"/>
        <v>0</v>
      </c>
      <c r="P348" s="84">
        <f t="shared" si="96"/>
        <v>0</v>
      </c>
      <c r="Q348" s="84">
        <f t="shared" si="96"/>
        <v>0</v>
      </c>
      <c r="R348" s="84">
        <f t="shared" si="96"/>
        <v>0</v>
      </c>
      <c r="S348" s="84">
        <f t="shared" si="96"/>
        <v>0</v>
      </c>
      <c r="T348" s="110">
        <f t="shared" si="96"/>
        <v>0</v>
      </c>
      <c r="U348" s="110">
        <f t="shared" si="96"/>
        <v>0</v>
      </c>
      <c r="V348" s="91">
        <f t="shared" si="96"/>
        <v>71363</v>
      </c>
      <c r="W348" s="91">
        <f t="shared" si="96"/>
        <v>71363</v>
      </c>
      <c r="X348" s="47">
        <f t="shared" si="96"/>
        <v>267402</v>
      </c>
      <c r="Y348" s="47">
        <f t="shared" si="96"/>
        <v>3208824</v>
      </c>
    </row>
    <row r="349" spans="1:29" ht="15.75" customHeight="1">
      <c r="A349" s="290" t="s">
        <v>226</v>
      </c>
      <c r="B349" s="291"/>
      <c r="C349" s="291"/>
      <c r="D349" s="291"/>
      <c r="E349" s="291"/>
      <c r="F349" s="291"/>
      <c r="G349" s="291"/>
      <c r="H349" s="291"/>
      <c r="I349" s="291"/>
      <c r="J349" s="291"/>
      <c r="K349" s="291"/>
      <c r="L349" s="291"/>
      <c r="M349" s="291"/>
      <c r="N349" s="291"/>
      <c r="O349" s="291"/>
      <c r="P349" s="291"/>
      <c r="Q349" s="291"/>
      <c r="R349" s="291"/>
      <c r="S349" s="291"/>
      <c r="T349" s="291"/>
      <c r="U349" s="291"/>
      <c r="V349" s="291"/>
      <c r="W349" s="291"/>
      <c r="X349" s="291"/>
      <c r="Y349" s="292"/>
      <c r="Z349" s="113"/>
      <c r="AA349" s="113"/>
      <c r="AB349" s="113"/>
      <c r="AC349" s="113"/>
    </row>
    <row r="350" spans="1:29" ht="19.5" customHeight="1">
      <c r="A350" s="62">
        <v>1</v>
      </c>
      <c r="B350" s="63" t="s">
        <v>84</v>
      </c>
      <c r="C350" s="62">
        <v>1</v>
      </c>
      <c r="D350" s="62">
        <v>12</v>
      </c>
      <c r="E350" s="37">
        <v>2360</v>
      </c>
      <c r="F350" s="76">
        <f>C350*E350</f>
        <v>2360</v>
      </c>
      <c r="G350" s="76"/>
      <c r="H350" s="43"/>
      <c r="I350" s="43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>
        <f>SUM(H350:V350)</f>
        <v>0</v>
      </c>
      <c r="X350" s="41">
        <f>C350*E350+W350</f>
        <v>2360</v>
      </c>
      <c r="Y350" s="80">
        <f>X350*12</f>
        <v>28320</v>
      </c>
      <c r="Z350" s="113"/>
      <c r="AA350" s="113"/>
      <c r="AB350" s="113"/>
      <c r="AC350" s="113"/>
    </row>
    <row r="351" spans="1:29" ht="19.5" customHeight="1">
      <c r="A351" s="62">
        <v>2</v>
      </c>
      <c r="B351" s="63" t="s">
        <v>65</v>
      </c>
      <c r="C351" s="62">
        <v>8</v>
      </c>
      <c r="D351" s="62">
        <v>9</v>
      </c>
      <c r="E351" s="37">
        <v>1925</v>
      </c>
      <c r="F351" s="76">
        <f>C351*E351</f>
        <v>15400</v>
      </c>
      <c r="G351" s="76"/>
      <c r="H351" s="43"/>
      <c r="I351" s="43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>
        <f>SUM(H351:V351)</f>
        <v>0</v>
      </c>
      <c r="X351" s="41">
        <f>C351*E351+W351</f>
        <v>15400</v>
      </c>
      <c r="Y351" s="80">
        <f>X351*12</f>
        <v>184800</v>
      </c>
      <c r="Z351" s="113"/>
      <c r="AA351" s="113"/>
      <c r="AB351" s="113"/>
      <c r="AC351" s="113"/>
    </row>
    <row r="352" spans="1:29" ht="19.5" customHeight="1">
      <c r="A352" s="62"/>
      <c r="B352" s="63"/>
      <c r="C352" s="83">
        <f>SUM(C350:C351)</f>
        <v>9</v>
      </c>
      <c r="D352" s="83"/>
      <c r="E352" s="83"/>
      <c r="F352" s="84">
        <f>SUM(F350:F351)</f>
        <v>17760</v>
      </c>
      <c r="G352" s="84"/>
      <c r="H352" s="83">
        <f aca="true" t="shared" si="97" ref="H352:V352">SUM(H350:H351)</f>
        <v>0</v>
      </c>
      <c r="I352" s="83">
        <f t="shared" si="97"/>
        <v>0</v>
      </c>
      <c r="J352" s="83">
        <f t="shared" si="97"/>
        <v>0</v>
      </c>
      <c r="K352" s="83">
        <f t="shared" si="97"/>
        <v>0</v>
      </c>
      <c r="L352" s="83">
        <f t="shared" si="97"/>
        <v>0</v>
      </c>
      <c r="M352" s="83">
        <f t="shared" si="97"/>
        <v>0</v>
      </c>
      <c r="N352" s="83">
        <f t="shared" si="97"/>
        <v>0</v>
      </c>
      <c r="O352" s="83">
        <f t="shared" si="97"/>
        <v>0</v>
      </c>
      <c r="P352" s="83">
        <f t="shared" si="97"/>
        <v>0</v>
      </c>
      <c r="Q352" s="83">
        <f t="shared" si="97"/>
        <v>0</v>
      </c>
      <c r="R352" s="83">
        <f t="shared" si="97"/>
        <v>0</v>
      </c>
      <c r="S352" s="83">
        <f t="shared" si="97"/>
        <v>0</v>
      </c>
      <c r="T352" s="83">
        <f t="shared" si="97"/>
        <v>0</v>
      </c>
      <c r="U352" s="83">
        <f t="shared" si="97"/>
        <v>0</v>
      </c>
      <c r="V352" s="83">
        <f t="shared" si="97"/>
        <v>0</v>
      </c>
      <c r="W352" s="42">
        <f>SUM(H352:V352)</f>
        <v>0</v>
      </c>
      <c r="X352" s="47">
        <f>SUM(X350:X351)</f>
        <v>17760</v>
      </c>
      <c r="Y352" s="47">
        <f>SUM(Y350:Y351)</f>
        <v>213120</v>
      </c>
      <c r="Z352" s="113"/>
      <c r="AA352" s="113"/>
      <c r="AB352" s="113"/>
      <c r="AC352" s="113"/>
    </row>
    <row r="353" spans="1:29" ht="15" customHeight="1">
      <c r="A353" s="290" t="s">
        <v>227</v>
      </c>
      <c r="B353" s="291"/>
      <c r="C353" s="291"/>
      <c r="D353" s="291"/>
      <c r="E353" s="291"/>
      <c r="F353" s="291"/>
      <c r="G353" s="291"/>
      <c r="H353" s="291"/>
      <c r="I353" s="291"/>
      <c r="J353" s="291"/>
      <c r="K353" s="291"/>
      <c r="L353" s="291"/>
      <c r="M353" s="291"/>
      <c r="N353" s="291"/>
      <c r="O353" s="291"/>
      <c r="P353" s="291"/>
      <c r="Q353" s="291"/>
      <c r="R353" s="291"/>
      <c r="S353" s="291"/>
      <c r="T353" s="291"/>
      <c r="U353" s="291"/>
      <c r="V353" s="291"/>
      <c r="W353" s="291"/>
      <c r="X353" s="291"/>
      <c r="Y353" s="292"/>
      <c r="Z353" s="113"/>
      <c r="AA353" s="113"/>
      <c r="AB353" s="113"/>
      <c r="AC353" s="113"/>
    </row>
    <row r="354" spans="1:29" ht="19.5" customHeight="1">
      <c r="A354" s="62">
        <v>1</v>
      </c>
      <c r="B354" s="63" t="s">
        <v>98</v>
      </c>
      <c r="C354" s="62">
        <v>1</v>
      </c>
      <c r="D354" s="62">
        <v>11</v>
      </c>
      <c r="E354" s="37">
        <v>2193</v>
      </c>
      <c r="F354" s="76">
        <f>E354*C354</f>
        <v>2193</v>
      </c>
      <c r="G354" s="76"/>
      <c r="H354" s="43"/>
      <c r="I354" s="42">
        <f>ROUNDUP(F354*20%,0)</f>
        <v>439</v>
      </c>
      <c r="J354" s="42"/>
      <c r="K354" s="42"/>
      <c r="L354" s="42"/>
      <c r="M354" s="42"/>
      <c r="N354" s="42">
        <f>ROUNDUP(F354*30%,0)</f>
        <v>658</v>
      </c>
      <c r="O354" s="42"/>
      <c r="P354" s="42"/>
      <c r="Q354" s="42"/>
      <c r="R354" s="42"/>
      <c r="S354" s="42"/>
      <c r="T354" s="42"/>
      <c r="U354" s="42"/>
      <c r="V354" s="42"/>
      <c r="W354" s="42">
        <f aca="true" t="shared" si="98" ref="W354:W359">SUM(H354:V354)</f>
        <v>1097</v>
      </c>
      <c r="X354" s="41">
        <f>C354*E354+W354</f>
        <v>3290</v>
      </c>
      <c r="Y354" s="64">
        <f>X354*12</f>
        <v>39480</v>
      </c>
      <c r="Z354" s="113"/>
      <c r="AA354" s="113"/>
      <c r="AB354" s="113"/>
      <c r="AC354" s="113"/>
    </row>
    <row r="355" spans="1:29" ht="19.5" customHeight="1">
      <c r="A355" s="62">
        <v>2</v>
      </c>
      <c r="B355" s="63" t="s">
        <v>70</v>
      </c>
      <c r="C355" s="62">
        <v>1</v>
      </c>
      <c r="D355" s="62">
        <v>11</v>
      </c>
      <c r="E355" s="37">
        <v>2193</v>
      </c>
      <c r="F355" s="76">
        <f>E355*C355</f>
        <v>2193</v>
      </c>
      <c r="G355" s="76"/>
      <c r="H355" s="43"/>
      <c r="I355" s="42">
        <f>ROUNDUP(F355*20%,0)</f>
        <v>439</v>
      </c>
      <c r="J355" s="42"/>
      <c r="K355" s="42"/>
      <c r="L355" s="42"/>
      <c r="M355" s="42"/>
      <c r="N355" s="42">
        <f>ROUNDUP(F355*30%,0)</f>
        <v>658</v>
      </c>
      <c r="O355" s="42"/>
      <c r="P355" s="42"/>
      <c r="Q355" s="42"/>
      <c r="R355" s="42"/>
      <c r="S355" s="42"/>
      <c r="T355" s="42"/>
      <c r="U355" s="42"/>
      <c r="V355" s="42"/>
      <c r="W355" s="42">
        <f t="shared" si="98"/>
        <v>1097</v>
      </c>
      <c r="X355" s="41">
        <f>C355*E355+W355</f>
        <v>3290</v>
      </c>
      <c r="Y355" s="64">
        <f>X355*12</f>
        <v>39480</v>
      </c>
      <c r="Z355" s="113"/>
      <c r="AA355" s="113"/>
      <c r="AB355" s="113"/>
      <c r="AC355" s="113"/>
    </row>
    <row r="356" spans="1:29" ht="19.5" customHeight="1">
      <c r="A356" s="62">
        <v>3</v>
      </c>
      <c r="B356" s="63" t="s">
        <v>68</v>
      </c>
      <c r="C356" s="62">
        <f>7+2</f>
        <v>9</v>
      </c>
      <c r="D356" s="62">
        <v>7</v>
      </c>
      <c r="E356" s="37">
        <v>1714</v>
      </c>
      <c r="F356" s="76">
        <f>E356*C356</f>
        <v>15426</v>
      </c>
      <c r="G356" s="76"/>
      <c r="H356" s="43"/>
      <c r="I356" s="43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>
        <f t="shared" si="98"/>
        <v>0</v>
      </c>
      <c r="X356" s="41">
        <f>C356*E356+W356</f>
        <v>15426</v>
      </c>
      <c r="Y356" s="64">
        <f>X356*12</f>
        <v>185112</v>
      </c>
      <c r="Z356" s="113"/>
      <c r="AA356" s="113"/>
      <c r="AB356" s="113"/>
      <c r="AC356" s="113"/>
    </row>
    <row r="357" spans="1:29" ht="19.5" customHeight="1">
      <c r="A357" s="62">
        <v>4</v>
      </c>
      <c r="B357" s="63" t="s">
        <v>65</v>
      </c>
      <c r="C357" s="62">
        <f>4+2</f>
        <v>6</v>
      </c>
      <c r="D357" s="62">
        <v>9</v>
      </c>
      <c r="E357" s="37">
        <v>1925</v>
      </c>
      <c r="F357" s="76">
        <f>E357*C357</f>
        <v>11550</v>
      </c>
      <c r="G357" s="76"/>
      <c r="H357" s="43"/>
      <c r="I357" s="43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>
        <f t="shared" si="98"/>
        <v>0</v>
      </c>
      <c r="X357" s="41">
        <f>C357*E357+W357</f>
        <v>11550</v>
      </c>
      <c r="Y357" s="64">
        <f>X357*12</f>
        <v>138600</v>
      </c>
      <c r="Z357" s="113"/>
      <c r="AA357" s="113"/>
      <c r="AB357" s="113"/>
      <c r="AC357" s="113"/>
    </row>
    <row r="358" spans="1:29" ht="19.5" customHeight="1">
      <c r="A358" s="62">
        <v>5</v>
      </c>
      <c r="B358" s="63" t="s">
        <v>85</v>
      </c>
      <c r="C358" s="62">
        <v>1</v>
      </c>
      <c r="D358" s="62">
        <v>7</v>
      </c>
      <c r="E358" s="37">
        <v>1714</v>
      </c>
      <c r="F358" s="76">
        <f>E358*C358</f>
        <v>1714</v>
      </c>
      <c r="G358" s="76"/>
      <c r="H358" s="43"/>
      <c r="I358" s="43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>
        <f t="shared" si="98"/>
        <v>0</v>
      </c>
      <c r="X358" s="41">
        <f>C358*E358+W358</f>
        <v>1714</v>
      </c>
      <c r="Y358" s="64">
        <f>X358*12</f>
        <v>20568</v>
      </c>
      <c r="Z358" s="113"/>
      <c r="AA358" s="113"/>
      <c r="AB358" s="113"/>
      <c r="AC358" s="113"/>
    </row>
    <row r="359" spans="1:29" ht="19.5" customHeight="1">
      <c r="A359" s="62"/>
      <c r="B359" s="63"/>
      <c r="C359" s="83">
        <f>SUM(C354:C358)</f>
        <v>18</v>
      </c>
      <c r="D359" s="83"/>
      <c r="E359" s="37"/>
      <c r="F359" s="90">
        <f>SUM(F354:F358)</f>
        <v>33076</v>
      </c>
      <c r="G359" s="90"/>
      <c r="H359" s="90">
        <f aca="true" t="shared" si="99" ref="H359:V359">SUM(H354:H358)</f>
        <v>0</v>
      </c>
      <c r="I359" s="114">
        <f t="shared" si="99"/>
        <v>878</v>
      </c>
      <c r="J359" s="90">
        <f t="shared" si="99"/>
        <v>0</v>
      </c>
      <c r="K359" s="90">
        <f t="shared" si="99"/>
        <v>0</v>
      </c>
      <c r="L359" s="90">
        <f t="shared" si="99"/>
        <v>0</v>
      </c>
      <c r="M359" s="90">
        <f t="shared" si="99"/>
        <v>0</v>
      </c>
      <c r="N359" s="90">
        <f t="shared" si="99"/>
        <v>1316</v>
      </c>
      <c r="O359" s="90">
        <f t="shared" si="99"/>
        <v>0</v>
      </c>
      <c r="P359" s="90">
        <f t="shared" si="99"/>
        <v>0</v>
      </c>
      <c r="Q359" s="90">
        <f t="shared" si="99"/>
        <v>0</v>
      </c>
      <c r="R359" s="90">
        <f t="shared" si="99"/>
        <v>0</v>
      </c>
      <c r="S359" s="90">
        <f t="shared" si="99"/>
        <v>0</v>
      </c>
      <c r="T359" s="90">
        <f t="shared" si="99"/>
        <v>0</v>
      </c>
      <c r="U359" s="115">
        <f t="shared" si="99"/>
        <v>0</v>
      </c>
      <c r="V359" s="90">
        <f t="shared" si="99"/>
        <v>0</v>
      </c>
      <c r="W359" s="77">
        <f t="shared" si="98"/>
        <v>2194</v>
      </c>
      <c r="X359" s="47">
        <f>SUM(X354:X358)</f>
        <v>35270</v>
      </c>
      <c r="Y359" s="47">
        <f>SUM(Y354:Y358)</f>
        <v>423240</v>
      </c>
      <c r="Z359" s="113"/>
      <c r="AA359" s="113"/>
      <c r="AB359" s="113"/>
      <c r="AC359" s="113"/>
    </row>
    <row r="360" spans="1:25" ht="21.75" customHeight="1">
      <c r="A360" s="290" t="s">
        <v>228</v>
      </c>
      <c r="B360" s="291"/>
      <c r="C360" s="291"/>
      <c r="D360" s="291"/>
      <c r="E360" s="291"/>
      <c r="F360" s="291"/>
      <c r="G360" s="291"/>
      <c r="H360" s="291"/>
      <c r="I360" s="291"/>
      <c r="J360" s="291"/>
      <c r="K360" s="291"/>
      <c r="L360" s="291"/>
      <c r="M360" s="291"/>
      <c r="N360" s="291"/>
      <c r="O360" s="291"/>
      <c r="P360" s="291"/>
      <c r="Q360" s="291"/>
      <c r="R360" s="291"/>
      <c r="S360" s="291"/>
      <c r="T360" s="291"/>
      <c r="U360" s="291"/>
      <c r="V360" s="291"/>
      <c r="W360" s="291"/>
      <c r="X360" s="291"/>
      <c r="Y360" s="292"/>
    </row>
    <row r="361" spans="1:25" ht="21.75" customHeight="1">
      <c r="A361" s="62">
        <v>1</v>
      </c>
      <c r="B361" s="63" t="s">
        <v>65</v>
      </c>
      <c r="C361" s="62">
        <v>1</v>
      </c>
      <c r="D361" s="62">
        <v>9</v>
      </c>
      <c r="E361" s="37">
        <v>1925</v>
      </c>
      <c r="F361" s="76">
        <f>E361*C361</f>
        <v>1925</v>
      </c>
      <c r="G361" s="76"/>
      <c r="H361" s="43"/>
      <c r="I361" s="43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>
        <f>SUM(H361:V361)</f>
        <v>0</v>
      </c>
      <c r="X361" s="41">
        <f>C361*E361+W361</f>
        <v>1925</v>
      </c>
      <c r="Y361" s="80">
        <f>X361*12</f>
        <v>23100</v>
      </c>
    </row>
    <row r="362" spans="1:29" ht="21.75" customHeight="1">
      <c r="A362" s="62"/>
      <c r="B362" s="63"/>
      <c r="C362" s="83">
        <f>SUM(C361)</f>
        <v>1</v>
      </c>
      <c r="D362" s="83"/>
      <c r="E362" s="83"/>
      <c r="F362" s="84">
        <f>SUM(F361)</f>
        <v>1925</v>
      </c>
      <c r="G362" s="84"/>
      <c r="H362" s="84">
        <f aca="true" t="shared" si="100" ref="H362:Y362">SUM(H361)</f>
        <v>0</v>
      </c>
      <c r="I362" s="84">
        <f t="shared" si="100"/>
        <v>0</v>
      </c>
      <c r="J362" s="84">
        <f t="shared" si="100"/>
        <v>0</v>
      </c>
      <c r="K362" s="84">
        <f t="shared" si="100"/>
        <v>0</v>
      </c>
      <c r="L362" s="84">
        <f t="shared" si="100"/>
        <v>0</v>
      </c>
      <c r="M362" s="84">
        <f t="shared" si="100"/>
        <v>0</v>
      </c>
      <c r="N362" s="84">
        <f t="shared" si="100"/>
        <v>0</v>
      </c>
      <c r="O362" s="84">
        <f t="shared" si="100"/>
        <v>0</v>
      </c>
      <c r="P362" s="84">
        <f t="shared" si="100"/>
        <v>0</v>
      </c>
      <c r="Q362" s="84">
        <f t="shared" si="100"/>
        <v>0</v>
      </c>
      <c r="R362" s="84">
        <f t="shared" si="100"/>
        <v>0</v>
      </c>
      <c r="S362" s="84">
        <f t="shared" si="100"/>
        <v>0</v>
      </c>
      <c r="T362" s="84">
        <f t="shared" si="100"/>
        <v>0</v>
      </c>
      <c r="U362" s="84">
        <f t="shared" si="100"/>
        <v>0</v>
      </c>
      <c r="V362" s="84">
        <f t="shared" si="100"/>
        <v>0</v>
      </c>
      <c r="W362" s="84">
        <f t="shared" si="100"/>
        <v>0</v>
      </c>
      <c r="X362" s="84">
        <f t="shared" si="100"/>
        <v>1925</v>
      </c>
      <c r="Y362" s="84">
        <f t="shared" si="100"/>
        <v>23100</v>
      </c>
      <c r="Z362" s="84">
        <f>SUM(Z361:Z661)</f>
        <v>0</v>
      </c>
      <c r="AA362" s="84">
        <f>SUM(AA361:AA661)</f>
        <v>0</v>
      </c>
      <c r="AB362" s="84">
        <f>SUM(AB361:AB661)</f>
        <v>0</v>
      </c>
      <c r="AC362" s="84">
        <f>SUM(AC361:AC661)</f>
        <v>0</v>
      </c>
    </row>
    <row r="363" spans="1:25" ht="27.75" customHeight="1">
      <c r="A363" s="287" t="s">
        <v>229</v>
      </c>
      <c r="B363" s="288"/>
      <c r="C363" s="288"/>
      <c r="D363" s="288"/>
      <c r="E363" s="288"/>
      <c r="F363" s="288"/>
      <c r="G363" s="288"/>
      <c r="H363" s="288"/>
      <c r="I363" s="288"/>
      <c r="J363" s="288"/>
      <c r="K363" s="288"/>
      <c r="L363" s="288"/>
      <c r="M363" s="288"/>
      <c r="N363" s="288"/>
      <c r="O363" s="288"/>
      <c r="P363" s="288"/>
      <c r="Q363" s="288"/>
      <c r="R363" s="288"/>
      <c r="S363" s="288"/>
      <c r="T363" s="288"/>
      <c r="U363" s="288"/>
      <c r="V363" s="288"/>
      <c r="W363" s="288"/>
      <c r="X363" s="288"/>
      <c r="Y363" s="289"/>
    </row>
    <row r="364" spans="1:25" ht="21.75" customHeight="1">
      <c r="A364" s="62">
        <v>1</v>
      </c>
      <c r="B364" s="63" t="s">
        <v>98</v>
      </c>
      <c r="C364" s="62">
        <v>1</v>
      </c>
      <c r="D364" s="62">
        <v>11</v>
      </c>
      <c r="E364" s="37">
        <v>2193</v>
      </c>
      <c r="F364" s="76">
        <f>E364*C364</f>
        <v>2193</v>
      </c>
      <c r="G364" s="76"/>
      <c r="H364" s="74"/>
      <c r="I364" s="42">
        <f>ROUNDUP(F364*20%,0)</f>
        <v>439</v>
      </c>
      <c r="J364" s="74"/>
      <c r="K364" s="74"/>
      <c r="L364" s="74"/>
      <c r="M364" s="74"/>
      <c r="N364" s="42">
        <f>ROUNDUP(F364*30%,0)</f>
        <v>658</v>
      </c>
      <c r="O364" s="74"/>
      <c r="P364" s="74"/>
      <c r="Q364" s="74"/>
      <c r="R364" s="74"/>
      <c r="S364" s="74"/>
      <c r="T364" s="74"/>
      <c r="U364" s="74"/>
      <c r="V364" s="74"/>
      <c r="W364" s="42">
        <f>SUM(H364:V364)</f>
        <v>1097</v>
      </c>
      <c r="X364" s="41">
        <f>C364*E364+W364</f>
        <v>3290</v>
      </c>
      <c r="Y364" s="64">
        <f>X364*12</f>
        <v>39480</v>
      </c>
    </row>
    <row r="365" spans="1:25" ht="21.75" customHeight="1">
      <c r="A365" s="62">
        <v>2</v>
      </c>
      <c r="B365" s="63" t="s">
        <v>65</v>
      </c>
      <c r="C365" s="62">
        <v>1</v>
      </c>
      <c r="D365" s="62">
        <v>9</v>
      </c>
      <c r="E365" s="37">
        <v>1925</v>
      </c>
      <c r="F365" s="76">
        <f>E365*C365</f>
        <v>1925</v>
      </c>
      <c r="G365" s="76"/>
      <c r="H365" s="74"/>
      <c r="I365" s="74"/>
      <c r="J365" s="74"/>
      <c r="K365" s="74"/>
      <c r="L365" s="74"/>
      <c r="M365" s="74"/>
      <c r="N365" s="42"/>
      <c r="O365" s="74"/>
      <c r="P365" s="74"/>
      <c r="Q365" s="74"/>
      <c r="R365" s="74"/>
      <c r="S365" s="74"/>
      <c r="T365" s="74"/>
      <c r="U365" s="74"/>
      <c r="V365" s="74"/>
      <c r="W365" s="42">
        <f>SUM(H365:V365)</f>
        <v>0</v>
      </c>
      <c r="X365" s="41">
        <f>C365*E365+W365</f>
        <v>1925</v>
      </c>
      <c r="Y365" s="64">
        <f>X365*12</f>
        <v>23100</v>
      </c>
    </row>
    <row r="366" spans="1:25" ht="21.75" customHeight="1">
      <c r="A366" s="62">
        <v>3</v>
      </c>
      <c r="B366" s="97" t="s">
        <v>230</v>
      </c>
      <c r="C366" s="62">
        <v>1</v>
      </c>
      <c r="D366" s="62">
        <v>7</v>
      </c>
      <c r="E366" s="62">
        <v>1714</v>
      </c>
      <c r="F366" s="80">
        <f>E366*C366</f>
        <v>1714</v>
      </c>
      <c r="G366" s="80"/>
      <c r="H366" s="62"/>
      <c r="I366" s="62"/>
      <c r="J366" s="62"/>
      <c r="K366" s="6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>
        <f>SUM(H366:V366)</f>
        <v>0</v>
      </c>
      <c r="X366" s="41">
        <f>C366*E366+W366</f>
        <v>1714</v>
      </c>
      <c r="Y366" s="64">
        <f>X366*12</f>
        <v>20568</v>
      </c>
    </row>
    <row r="367" spans="1:25" ht="21.75" customHeight="1">
      <c r="A367" s="62"/>
      <c r="B367" s="63"/>
      <c r="C367" s="83">
        <f>SUM(C364:C366)</f>
        <v>3</v>
      </c>
      <c r="D367" s="83"/>
      <c r="E367" s="83"/>
      <c r="F367" s="84">
        <f>SUM(F364:F366)</f>
        <v>5832</v>
      </c>
      <c r="G367" s="84"/>
      <c r="H367" s="83">
        <f aca="true" t="shared" si="101" ref="H367:Y367">SUM(H364:H366)</f>
        <v>0</v>
      </c>
      <c r="I367" s="83">
        <f t="shared" si="101"/>
        <v>439</v>
      </c>
      <c r="J367" s="83">
        <f t="shared" si="101"/>
        <v>0</v>
      </c>
      <c r="K367" s="83">
        <f t="shared" si="101"/>
        <v>0</v>
      </c>
      <c r="L367" s="83">
        <f t="shared" si="101"/>
        <v>0</v>
      </c>
      <c r="M367" s="83">
        <f t="shared" si="101"/>
        <v>0</v>
      </c>
      <c r="N367" s="83">
        <f t="shared" si="101"/>
        <v>658</v>
      </c>
      <c r="O367" s="83">
        <f t="shared" si="101"/>
        <v>0</v>
      </c>
      <c r="P367" s="83">
        <f t="shared" si="101"/>
        <v>0</v>
      </c>
      <c r="Q367" s="83">
        <f t="shared" si="101"/>
        <v>0</v>
      </c>
      <c r="R367" s="83">
        <f t="shared" si="101"/>
        <v>0</v>
      </c>
      <c r="S367" s="83">
        <f t="shared" si="101"/>
        <v>0</v>
      </c>
      <c r="T367" s="83">
        <f t="shared" si="101"/>
        <v>0</v>
      </c>
      <c r="U367" s="83">
        <f t="shared" si="101"/>
        <v>0</v>
      </c>
      <c r="V367" s="83">
        <f t="shared" si="101"/>
        <v>0</v>
      </c>
      <c r="W367" s="83">
        <f t="shared" si="101"/>
        <v>1097</v>
      </c>
      <c r="X367" s="84">
        <f t="shared" si="101"/>
        <v>6929</v>
      </c>
      <c r="Y367" s="84">
        <f t="shared" si="101"/>
        <v>83148</v>
      </c>
    </row>
    <row r="368" spans="1:25" ht="21.75" customHeight="1">
      <c r="A368" s="290" t="s">
        <v>231</v>
      </c>
      <c r="B368" s="291"/>
      <c r="C368" s="291"/>
      <c r="D368" s="291"/>
      <c r="E368" s="291"/>
      <c r="F368" s="291"/>
      <c r="G368" s="291"/>
      <c r="H368" s="291"/>
      <c r="I368" s="291"/>
      <c r="J368" s="291"/>
      <c r="K368" s="291"/>
      <c r="L368" s="291"/>
      <c r="M368" s="291"/>
      <c r="N368" s="291"/>
      <c r="O368" s="291"/>
      <c r="P368" s="291"/>
      <c r="Q368" s="291"/>
      <c r="R368" s="291"/>
      <c r="S368" s="291"/>
      <c r="T368" s="291"/>
      <c r="U368" s="291"/>
      <c r="V368" s="291"/>
      <c r="W368" s="291"/>
      <c r="X368" s="291"/>
      <c r="Y368" s="292"/>
    </row>
    <row r="369" spans="1:25" ht="21.75" customHeight="1">
      <c r="A369" s="62">
        <v>1</v>
      </c>
      <c r="B369" s="63" t="s">
        <v>84</v>
      </c>
      <c r="C369" s="62">
        <v>1</v>
      </c>
      <c r="D369" s="62">
        <v>10</v>
      </c>
      <c r="E369" s="37">
        <v>2026</v>
      </c>
      <c r="F369" s="76">
        <f>E369*C369</f>
        <v>2026</v>
      </c>
      <c r="G369" s="76"/>
      <c r="H369" s="43"/>
      <c r="I369" s="43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>
        <f>SUM(H369:V369)</f>
        <v>0</v>
      </c>
      <c r="X369" s="41">
        <f>C369*E369+W369</f>
        <v>2026</v>
      </c>
      <c r="Y369" s="80">
        <f>X369*12</f>
        <v>24312</v>
      </c>
    </row>
    <row r="370" spans="1:25" ht="21.75" customHeight="1">
      <c r="A370" s="62">
        <v>3</v>
      </c>
      <c r="B370" s="63" t="s">
        <v>232</v>
      </c>
      <c r="C370" s="62">
        <v>1</v>
      </c>
      <c r="D370" s="62">
        <v>9</v>
      </c>
      <c r="E370" s="62">
        <v>1925</v>
      </c>
      <c r="F370" s="76">
        <f>E370*C370</f>
        <v>1925</v>
      </c>
      <c r="G370" s="76"/>
      <c r="H370" s="43"/>
      <c r="I370" s="43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>
        <f>SUM(H370:V370)</f>
        <v>0</v>
      </c>
      <c r="X370" s="41">
        <f>C370*E370+W370</f>
        <v>1925</v>
      </c>
      <c r="Y370" s="80">
        <f>X370*12</f>
        <v>23100</v>
      </c>
    </row>
    <row r="371" spans="1:25" ht="21.75" customHeight="1">
      <c r="A371" s="62">
        <v>4</v>
      </c>
      <c r="B371" s="63" t="s">
        <v>73</v>
      </c>
      <c r="C371" s="62">
        <v>1</v>
      </c>
      <c r="D371" s="62">
        <v>4</v>
      </c>
      <c r="E371" s="37">
        <v>1414</v>
      </c>
      <c r="F371" s="76">
        <f>E371*C371</f>
        <v>1414</v>
      </c>
      <c r="G371" s="76"/>
      <c r="H371" s="43"/>
      <c r="I371" s="43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>
        <f>SUM(H371:V371)</f>
        <v>0</v>
      </c>
      <c r="X371" s="41">
        <f>C371*E371+W371</f>
        <v>1414</v>
      </c>
      <c r="Y371" s="80">
        <f>X371*12</f>
        <v>16968</v>
      </c>
    </row>
    <row r="372" spans="1:25" ht="21.75" customHeight="1">
      <c r="A372" s="62"/>
      <c r="B372" s="63"/>
      <c r="C372" s="83">
        <f>SUM(C369:C371)</f>
        <v>3</v>
      </c>
      <c r="D372" s="83"/>
      <c r="E372" s="83"/>
      <c r="F372" s="84">
        <f>SUM(F369:F371)</f>
        <v>5365</v>
      </c>
      <c r="G372" s="84"/>
      <c r="H372" s="83">
        <f aca="true" t="shared" si="102" ref="H372:Y372">SUM(H369:H371)</f>
        <v>0</v>
      </c>
      <c r="I372" s="83">
        <f t="shared" si="102"/>
        <v>0</v>
      </c>
      <c r="J372" s="83">
        <f t="shared" si="102"/>
        <v>0</v>
      </c>
      <c r="K372" s="83">
        <f t="shared" si="102"/>
        <v>0</v>
      </c>
      <c r="L372" s="83">
        <f t="shared" si="102"/>
        <v>0</v>
      </c>
      <c r="M372" s="83">
        <f t="shared" si="102"/>
        <v>0</v>
      </c>
      <c r="N372" s="83">
        <f t="shared" si="102"/>
        <v>0</v>
      </c>
      <c r="O372" s="83">
        <f t="shared" si="102"/>
        <v>0</v>
      </c>
      <c r="P372" s="83">
        <f t="shared" si="102"/>
        <v>0</v>
      </c>
      <c r="Q372" s="83">
        <f t="shared" si="102"/>
        <v>0</v>
      </c>
      <c r="R372" s="83">
        <f t="shared" si="102"/>
        <v>0</v>
      </c>
      <c r="S372" s="83">
        <f t="shared" si="102"/>
        <v>0</v>
      </c>
      <c r="T372" s="83">
        <f t="shared" si="102"/>
        <v>0</v>
      </c>
      <c r="U372" s="83">
        <f t="shared" si="102"/>
        <v>0</v>
      </c>
      <c r="V372" s="83">
        <f t="shared" si="102"/>
        <v>0</v>
      </c>
      <c r="W372" s="83">
        <f t="shared" si="102"/>
        <v>0</v>
      </c>
      <c r="X372" s="47">
        <f t="shared" si="102"/>
        <v>5365</v>
      </c>
      <c r="Y372" s="47">
        <f t="shared" si="102"/>
        <v>64380</v>
      </c>
    </row>
    <row r="373" spans="1:25" ht="21.75" customHeight="1">
      <c r="A373" s="290" t="s">
        <v>233</v>
      </c>
      <c r="B373" s="291"/>
      <c r="C373" s="291"/>
      <c r="D373" s="291"/>
      <c r="E373" s="291"/>
      <c r="F373" s="291"/>
      <c r="G373" s="291"/>
      <c r="H373" s="291"/>
      <c r="I373" s="291"/>
      <c r="J373" s="291"/>
      <c r="K373" s="291"/>
      <c r="L373" s="291"/>
      <c r="M373" s="291"/>
      <c r="N373" s="291"/>
      <c r="O373" s="291"/>
      <c r="P373" s="291"/>
      <c r="Q373" s="291"/>
      <c r="R373" s="291"/>
      <c r="S373" s="291"/>
      <c r="T373" s="291"/>
      <c r="U373" s="291"/>
      <c r="V373" s="291"/>
      <c r="W373" s="291"/>
      <c r="X373" s="291"/>
      <c r="Y373" s="292"/>
    </row>
    <row r="374" spans="1:25" ht="21.75" customHeight="1">
      <c r="A374" s="62">
        <v>1</v>
      </c>
      <c r="B374" s="63" t="s">
        <v>234</v>
      </c>
      <c r="C374" s="62">
        <v>1</v>
      </c>
      <c r="D374" s="62">
        <v>10</v>
      </c>
      <c r="E374" s="37">
        <v>2026</v>
      </c>
      <c r="F374" s="76">
        <f aca="true" t="shared" si="103" ref="F374:F379">E374*C374</f>
        <v>2026</v>
      </c>
      <c r="G374" s="76"/>
      <c r="H374" s="43"/>
      <c r="I374" s="43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>
        <f aca="true" t="shared" si="104" ref="W374:W380">SUM(H374:V374)</f>
        <v>0</v>
      </c>
      <c r="X374" s="41">
        <f aca="true" t="shared" si="105" ref="X374:X379">F374+W374</f>
        <v>2026</v>
      </c>
      <c r="Y374" s="80">
        <f aca="true" t="shared" si="106" ref="Y374:Y379">X374*12</f>
        <v>24312</v>
      </c>
    </row>
    <row r="375" spans="1:25" ht="28.5" customHeight="1">
      <c r="A375" s="62">
        <v>2</v>
      </c>
      <c r="B375" s="93" t="s">
        <v>235</v>
      </c>
      <c r="C375" s="62">
        <v>1</v>
      </c>
      <c r="D375" s="62"/>
      <c r="E375" s="37">
        <v>1925</v>
      </c>
      <c r="F375" s="76">
        <f t="shared" si="103"/>
        <v>1925</v>
      </c>
      <c r="G375" s="76"/>
      <c r="H375" s="43"/>
      <c r="I375" s="43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>
        <f t="shared" si="104"/>
        <v>0</v>
      </c>
      <c r="X375" s="41">
        <f t="shared" si="105"/>
        <v>1925</v>
      </c>
      <c r="Y375" s="80">
        <f t="shared" si="106"/>
        <v>23100</v>
      </c>
    </row>
    <row r="376" spans="1:25" ht="21.75" customHeight="1">
      <c r="A376" s="62">
        <v>3</v>
      </c>
      <c r="B376" s="63" t="s">
        <v>65</v>
      </c>
      <c r="C376" s="62">
        <v>2</v>
      </c>
      <c r="D376" s="62">
        <v>9</v>
      </c>
      <c r="E376" s="37">
        <v>1925</v>
      </c>
      <c r="F376" s="76">
        <f t="shared" si="103"/>
        <v>3850</v>
      </c>
      <c r="G376" s="76"/>
      <c r="H376" s="43"/>
      <c r="I376" s="43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>
        <f t="shared" si="104"/>
        <v>0</v>
      </c>
      <c r="X376" s="41">
        <f t="shared" si="105"/>
        <v>3850</v>
      </c>
      <c r="Y376" s="80">
        <f t="shared" si="106"/>
        <v>46200</v>
      </c>
    </row>
    <row r="377" spans="1:25" ht="21.75" customHeight="1">
      <c r="A377" s="62">
        <v>4</v>
      </c>
      <c r="B377" s="63" t="s">
        <v>67</v>
      </c>
      <c r="C377" s="62">
        <v>0.5</v>
      </c>
      <c r="D377" s="62">
        <v>7</v>
      </c>
      <c r="E377" s="37">
        <v>1714</v>
      </c>
      <c r="F377" s="76">
        <f t="shared" si="103"/>
        <v>857</v>
      </c>
      <c r="G377" s="76"/>
      <c r="H377" s="43"/>
      <c r="I377" s="43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>
        <f t="shared" si="104"/>
        <v>0</v>
      </c>
      <c r="X377" s="41">
        <f t="shared" si="105"/>
        <v>857</v>
      </c>
      <c r="Y377" s="80">
        <f t="shared" si="106"/>
        <v>10284</v>
      </c>
    </row>
    <row r="378" spans="1:25" ht="21.75" customHeight="1">
      <c r="A378" s="62">
        <v>5</v>
      </c>
      <c r="B378" s="63" t="s">
        <v>68</v>
      </c>
      <c r="C378" s="62">
        <v>2.5</v>
      </c>
      <c r="D378" s="62">
        <v>7</v>
      </c>
      <c r="E378" s="37">
        <v>1714</v>
      </c>
      <c r="F378" s="76">
        <f t="shared" si="103"/>
        <v>4285</v>
      </c>
      <c r="G378" s="76"/>
      <c r="H378" s="43"/>
      <c r="I378" s="43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>
        <f t="shared" si="104"/>
        <v>0</v>
      </c>
      <c r="X378" s="41">
        <f t="shared" si="105"/>
        <v>4285</v>
      </c>
      <c r="Y378" s="80">
        <f t="shared" si="106"/>
        <v>51420</v>
      </c>
    </row>
    <row r="379" spans="1:25" ht="21.75" customHeight="1">
      <c r="A379" s="62">
        <v>6</v>
      </c>
      <c r="B379" s="63" t="s">
        <v>87</v>
      </c>
      <c r="C379" s="116">
        <v>2</v>
      </c>
      <c r="D379" s="116">
        <v>5</v>
      </c>
      <c r="E379" s="117">
        <v>1514</v>
      </c>
      <c r="F379" s="118">
        <f t="shared" si="103"/>
        <v>3028</v>
      </c>
      <c r="G379" s="118"/>
      <c r="H379" s="43"/>
      <c r="I379" s="43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>
        <f t="shared" si="104"/>
        <v>0</v>
      </c>
      <c r="X379" s="41">
        <f t="shared" si="105"/>
        <v>3028</v>
      </c>
      <c r="Y379" s="80">
        <f t="shared" si="106"/>
        <v>36336</v>
      </c>
    </row>
    <row r="380" spans="1:25" ht="21.75" customHeight="1">
      <c r="A380" s="62"/>
      <c r="B380" s="63"/>
      <c r="C380" s="83">
        <f>SUM(C374:C379)</f>
        <v>9</v>
      </c>
      <c r="D380" s="83"/>
      <c r="E380" s="83"/>
      <c r="F380" s="84">
        <f>SUM(F374:F379)</f>
        <v>15971</v>
      </c>
      <c r="G380" s="84"/>
      <c r="H380" s="83">
        <f aca="true" t="shared" si="107" ref="H380:V380">SUM(H374:H379)</f>
        <v>0</v>
      </c>
      <c r="I380" s="83">
        <f t="shared" si="107"/>
        <v>0</v>
      </c>
      <c r="J380" s="83">
        <f t="shared" si="107"/>
        <v>0</v>
      </c>
      <c r="K380" s="83">
        <f t="shared" si="107"/>
        <v>0</v>
      </c>
      <c r="L380" s="83">
        <f t="shared" si="107"/>
        <v>0</v>
      </c>
      <c r="M380" s="83">
        <f t="shared" si="107"/>
        <v>0</v>
      </c>
      <c r="N380" s="83">
        <f t="shared" si="107"/>
        <v>0</v>
      </c>
      <c r="O380" s="83">
        <f t="shared" si="107"/>
        <v>0</v>
      </c>
      <c r="P380" s="83">
        <f t="shared" si="107"/>
        <v>0</v>
      </c>
      <c r="Q380" s="83">
        <f t="shared" si="107"/>
        <v>0</v>
      </c>
      <c r="R380" s="83">
        <f t="shared" si="107"/>
        <v>0</v>
      </c>
      <c r="S380" s="83">
        <f t="shared" si="107"/>
        <v>0</v>
      </c>
      <c r="T380" s="83">
        <f t="shared" si="107"/>
        <v>0</v>
      </c>
      <c r="U380" s="83">
        <f t="shared" si="107"/>
        <v>0</v>
      </c>
      <c r="V380" s="83">
        <f t="shared" si="107"/>
        <v>0</v>
      </c>
      <c r="W380" s="42">
        <f t="shared" si="104"/>
        <v>0</v>
      </c>
      <c r="X380" s="47">
        <f>SUM(X374:X379)</f>
        <v>15971</v>
      </c>
      <c r="Y380" s="47">
        <f>SUM(Y374:Y379)</f>
        <v>191652</v>
      </c>
    </row>
    <row r="381" spans="1:25" ht="21.75" customHeight="1">
      <c r="A381" s="290" t="s">
        <v>236</v>
      </c>
      <c r="B381" s="291"/>
      <c r="C381" s="291"/>
      <c r="D381" s="291"/>
      <c r="E381" s="291"/>
      <c r="F381" s="291"/>
      <c r="G381" s="291"/>
      <c r="H381" s="291"/>
      <c r="I381" s="291"/>
      <c r="J381" s="291"/>
      <c r="K381" s="291"/>
      <c r="L381" s="291"/>
      <c r="M381" s="291"/>
      <c r="N381" s="291"/>
      <c r="O381" s="291"/>
      <c r="P381" s="291"/>
      <c r="Q381" s="291"/>
      <c r="R381" s="291"/>
      <c r="S381" s="291"/>
      <c r="T381" s="291"/>
      <c r="U381" s="291"/>
      <c r="V381" s="291"/>
      <c r="W381" s="291"/>
      <c r="X381" s="291"/>
      <c r="Y381" s="292"/>
    </row>
    <row r="382" spans="1:25" ht="21.75" customHeight="1">
      <c r="A382" s="67">
        <v>1</v>
      </c>
      <c r="B382" s="63" t="s">
        <v>237</v>
      </c>
      <c r="C382" s="62">
        <v>1</v>
      </c>
      <c r="D382" s="62">
        <v>12</v>
      </c>
      <c r="E382" s="37">
        <v>2360</v>
      </c>
      <c r="F382" s="76">
        <f aca="true" t="shared" si="108" ref="F382:F393">E382*C382</f>
        <v>2360</v>
      </c>
      <c r="G382" s="76"/>
      <c r="H382" s="43"/>
      <c r="I382" s="43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>
        <f aca="true" t="shared" si="109" ref="W382:W393">SUM(H382:V382)</f>
        <v>0</v>
      </c>
      <c r="X382" s="41">
        <f aca="true" t="shared" si="110" ref="X382:X393">C382*E382+W382</f>
        <v>2360</v>
      </c>
      <c r="Y382" s="80">
        <f aca="true" t="shared" si="111" ref="Y382:Y393">X382*12</f>
        <v>28320</v>
      </c>
    </row>
    <row r="383" spans="1:25" ht="21.75" customHeight="1">
      <c r="A383" s="67">
        <v>2</v>
      </c>
      <c r="B383" s="63" t="s">
        <v>64</v>
      </c>
      <c r="C383" s="62">
        <f>6+1+1+1.5-1</f>
        <v>8.5</v>
      </c>
      <c r="D383" s="62">
        <v>10</v>
      </c>
      <c r="E383" s="37">
        <v>2026</v>
      </c>
      <c r="F383" s="76">
        <f t="shared" si="108"/>
        <v>17221</v>
      </c>
      <c r="G383" s="76"/>
      <c r="H383" s="43"/>
      <c r="I383" s="43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>
        <f t="shared" si="109"/>
        <v>0</v>
      </c>
      <c r="X383" s="41">
        <f t="shared" si="110"/>
        <v>17221</v>
      </c>
      <c r="Y383" s="80">
        <f t="shared" si="111"/>
        <v>206652</v>
      </c>
    </row>
    <row r="384" spans="1:25" ht="21.75" customHeight="1">
      <c r="A384" s="67">
        <v>3</v>
      </c>
      <c r="B384" s="63" t="s">
        <v>238</v>
      </c>
      <c r="C384" s="62">
        <f>10+4</f>
        <v>14</v>
      </c>
      <c r="D384" s="62">
        <v>9</v>
      </c>
      <c r="E384" s="62">
        <v>1925</v>
      </c>
      <c r="F384" s="76">
        <f t="shared" si="108"/>
        <v>26950</v>
      </c>
      <c r="G384" s="76"/>
      <c r="H384" s="43"/>
      <c r="I384" s="43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>
        <f t="shared" si="109"/>
        <v>0</v>
      </c>
      <c r="X384" s="41">
        <f t="shared" si="110"/>
        <v>26950</v>
      </c>
      <c r="Y384" s="80">
        <f t="shared" si="111"/>
        <v>323400</v>
      </c>
    </row>
    <row r="385" spans="1:25" ht="21.75" customHeight="1">
      <c r="A385" s="67">
        <v>4</v>
      </c>
      <c r="B385" s="63" t="s">
        <v>239</v>
      </c>
      <c r="C385" s="62">
        <v>2</v>
      </c>
      <c r="D385" s="62">
        <v>8</v>
      </c>
      <c r="E385" s="62">
        <v>1825</v>
      </c>
      <c r="F385" s="76">
        <f t="shared" si="108"/>
        <v>3650</v>
      </c>
      <c r="G385" s="76"/>
      <c r="H385" s="43"/>
      <c r="I385" s="43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>
        <f t="shared" si="109"/>
        <v>0</v>
      </c>
      <c r="X385" s="41">
        <f t="shared" si="110"/>
        <v>3650</v>
      </c>
      <c r="Y385" s="80">
        <f t="shared" si="111"/>
        <v>43800</v>
      </c>
    </row>
    <row r="386" spans="1:25" ht="21.75" customHeight="1">
      <c r="A386" s="67">
        <v>5</v>
      </c>
      <c r="B386" s="63" t="s">
        <v>240</v>
      </c>
      <c r="C386" s="62">
        <f>3+3</f>
        <v>6</v>
      </c>
      <c r="D386" s="62">
        <v>9</v>
      </c>
      <c r="E386" s="62">
        <v>1925</v>
      </c>
      <c r="F386" s="76">
        <f t="shared" si="108"/>
        <v>11550</v>
      </c>
      <c r="G386" s="76"/>
      <c r="H386" s="43"/>
      <c r="I386" s="43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>
        <f t="shared" si="109"/>
        <v>0</v>
      </c>
      <c r="X386" s="41">
        <f t="shared" si="110"/>
        <v>11550</v>
      </c>
      <c r="Y386" s="80">
        <f t="shared" si="111"/>
        <v>138600</v>
      </c>
    </row>
    <row r="387" spans="1:25" ht="21.75" customHeight="1">
      <c r="A387" s="67">
        <v>6</v>
      </c>
      <c r="B387" s="63" t="s">
        <v>65</v>
      </c>
      <c r="C387" s="62">
        <f>9.5+0.5</f>
        <v>10</v>
      </c>
      <c r="D387" s="62">
        <v>9</v>
      </c>
      <c r="E387" s="62">
        <v>1925</v>
      </c>
      <c r="F387" s="76">
        <f t="shared" si="108"/>
        <v>19250</v>
      </c>
      <c r="G387" s="76"/>
      <c r="H387" s="43"/>
      <c r="I387" s="43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>
        <f t="shared" si="109"/>
        <v>0</v>
      </c>
      <c r="X387" s="41">
        <f t="shared" si="110"/>
        <v>19250</v>
      </c>
      <c r="Y387" s="80">
        <f t="shared" si="111"/>
        <v>231000</v>
      </c>
    </row>
    <row r="388" spans="1:25" ht="21.75" customHeight="1">
      <c r="A388" s="67">
        <v>7</v>
      </c>
      <c r="B388" s="63" t="s">
        <v>85</v>
      </c>
      <c r="C388" s="62">
        <f>2+0.5</f>
        <v>2.5</v>
      </c>
      <c r="D388" s="62">
        <v>7</v>
      </c>
      <c r="E388" s="62">
        <v>1714</v>
      </c>
      <c r="F388" s="76">
        <f t="shared" si="108"/>
        <v>4285</v>
      </c>
      <c r="G388" s="76"/>
      <c r="H388" s="43"/>
      <c r="I388" s="43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>
        <f t="shared" si="109"/>
        <v>0</v>
      </c>
      <c r="X388" s="41">
        <f t="shared" si="110"/>
        <v>4285</v>
      </c>
      <c r="Y388" s="80">
        <f t="shared" si="111"/>
        <v>51420</v>
      </c>
    </row>
    <row r="389" spans="1:25" ht="21.75" customHeight="1">
      <c r="A389" s="67">
        <v>8</v>
      </c>
      <c r="B389" s="63" t="s">
        <v>68</v>
      </c>
      <c r="C389" s="62">
        <v>2</v>
      </c>
      <c r="D389" s="62">
        <v>7</v>
      </c>
      <c r="E389" s="62">
        <v>1714</v>
      </c>
      <c r="F389" s="76">
        <f t="shared" si="108"/>
        <v>3428</v>
      </c>
      <c r="G389" s="76"/>
      <c r="H389" s="43"/>
      <c r="I389" s="43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>
        <f t="shared" si="109"/>
        <v>0</v>
      </c>
      <c r="X389" s="41">
        <f t="shared" si="110"/>
        <v>3428</v>
      </c>
      <c r="Y389" s="80">
        <f t="shared" si="111"/>
        <v>41136</v>
      </c>
    </row>
    <row r="390" spans="1:25" ht="21.75" customHeight="1">
      <c r="A390" s="67">
        <v>9</v>
      </c>
      <c r="B390" s="63" t="s">
        <v>241</v>
      </c>
      <c r="C390" s="62">
        <v>1</v>
      </c>
      <c r="D390" s="62">
        <v>11</v>
      </c>
      <c r="E390" s="37">
        <v>2193</v>
      </c>
      <c r="F390" s="76">
        <f t="shared" si="108"/>
        <v>2193</v>
      </c>
      <c r="G390" s="76"/>
      <c r="H390" s="43"/>
      <c r="I390" s="42">
        <f>ROUNDUP(F390*20%,0)</f>
        <v>439</v>
      </c>
      <c r="J390" s="42"/>
      <c r="K390" s="42"/>
      <c r="L390" s="42"/>
      <c r="M390" s="42"/>
      <c r="N390" s="42">
        <f>ROUNDUP(F390*30%,0)</f>
        <v>658</v>
      </c>
      <c r="O390" s="42"/>
      <c r="P390" s="42"/>
      <c r="Q390" s="42"/>
      <c r="R390" s="42"/>
      <c r="S390" s="42">
        <f>ROUNDUP(F390*15%,0)</f>
        <v>329</v>
      </c>
      <c r="T390" s="42"/>
      <c r="U390" s="42"/>
      <c r="V390" s="42"/>
      <c r="W390" s="42">
        <f t="shared" si="109"/>
        <v>1426</v>
      </c>
      <c r="X390" s="41">
        <f t="shared" si="110"/>
        <v>3619</v>
      </c>
      <c r="Y390" s="80">
        <f t="shared" si="111"/>
        <v>43428</v>
      </c>
    </row>
    <row r="391" spans="1:25" ht="21.75" customHeight="1">
      <c r="A391" s="67">
        <v>10</v>
      </c>
      <c r="B391" s="63" t="s">
        <v>242</v>
      </c>
      <c r="C391" s="62">
        <v>6</v>
      </c>
      <c r="D391" s="62">
        <v>11</v>
      </c>
      <c r="E391" s="37">
        <v>2193</v>
      </c>
      <c r="F391" s="76">
        <f t="shared" si="108"/>
        <v>13158</v>
      </c>
      <c r="G391" s="76"/>
      <c r="H391" s="43"/>
      <c r="I391" s="42">
        <f>ROUNDUP(F391*20%,0)</f>
        <v>2632</v>
      </c>
      <c r="J391" s="42"/>
      <c r="K391" s="42"/>
      <c r="L391" s="42"/>
      <c r="M391" s="42"/>
      <c r="N391" s="42">
        <f>ROUNDUP(F391*30%,0)</f>
        <v>3948</v>
      </c>
      <c r="O391" s="42"/>
      <c r="P391" s="42"/>
      <c r="Q391" s="42"/>
      <c r="R391" s="42"/>
      <c r="S391" s="42"/>
      <c r="T391" s="42"/>
      <c r="U391" s="42"/>
      <c r="V391" s="42"/>
      <c r="W391" s="42">
        <f t="shared" si="109"/>
        <v>6580</v>
      </c>
      <c r="X391" s="41">
        <f t="shared" si="110"/>
        <v>19738</v>
      </c>
      <c r="Y391" s="80">
        <f t="shared" si="111"/>
        <v>236856</v>
      </c>
    </row>
    <row r="392" spans="1:25" ht="21.75" customHeight="1">
      <c r="A392" s="67">
        <v>11</v>
      </c>
      <c r="B392" s="63" t="s">
        <v>70</v>
      </c>
      <c r="C392" s="62">
        <v>3</v>
      </c>
      <c r="D392" s="62">
        <v>11</v>
      </c>
      <c r="E392" s="37">
        <v>2193</v>
      </c>
      <c r="F392" s="76">
        <f t="shared" si="108"/>
        <v>6579</v>
      </c>
      <c r="G392" s="76"/>
      <c r="H392" s="43"/>
      <c r="I392" s="42">
        <f>ROUNDUP(F392*20%,0)</f>
        <v>1316</v>
      </c>
      <c r="J392" s="42"/>
      <c r="K392" s="42"/>
      <c r="L392" s="42"/>
      <c r="M392" s="42"/>
      <c r="N392" s="42">
        <f>ROUNDUP(F392*30%,0)</f>
        <v>1974</v>
      </c>
      <c r="O392" s="42"/>
      <c r="P392" s="42"/>
      <c r="Q392" s="42"/>
      <c r="R392" s="42"/>
      <c r="S392" s="42"/>
      <c r="T392" s="42"/>
      <c r="U392" s="42"/>
      <c r="V392" s="42"/>
      <c r="W392" s="42">
        <f t="shared" si="109"/>
        <v>3290</v>
      </c>
      <c r="X392" s="41">
        <f t="shared" si="110"/>
        <v>9869</v>
      </c>
      <c r="Y392" s="80">
        <f t="shared" si="111"/>
        <v>118428</v>
      </c>
    </row>
    <row r="393" spans="1:25" ht="21.75" customHeight="1">
      <c r="A393" s="67">
        <v>12</v>
      </c>
      <c r="B393" s="63" t="s">
        <v>78</v>
      </c>
      <c r="C393" s="62">
        <v>6.5</v>
      </c>
      <c r="D393" s="62">
        <v>4</v>
      </c>
      <c r="E393" s="37">
        <v>1414</v>
      </c>
      <c r="F393" s="76">
        <f t="shared" si="108"/>
        <v>9191</v>
      </c>
      <c r="G393" s="76"/>
      <c r="H393" s="43"/>
      <c r="I393" s="43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>
        <f t="shared" si="109"/>
        <v>0</v>
      </c>
      <c r="X393" s="41">
        <f t="shared" si="110"/>
        <v>9191</v>
      </c>
      <c r="Y393" s="80">
        <f t="shared" si="111"/>
        <v>110292</v>
      </c>
    </row>
    <row r="394" spans="1:25" ht="21.75" customHeight="1">
      <c r="A394" s="67"/>
      <c r="B394" s="63"/>
      <c r="C394" s="83">
        <f>SUM(C382:C393)</f>
        <v>62.5</v>
      </c>
      <c r="D394" s="62"/>
      <c r="E394" s="83"/>
      <c r="F394" s="84">
        <f>SUM(F382:F393)</f>
        <v>119815</v>
      </c>
      <c r="G394" s="84"/>
      <c r="H394" s="91">
        <f aca="true" t="shared" si="112" ref="H394:Y394">SUM(H382:H393)</f>
        <v>0</v>
      </c>
      <c r="I394" s="91">
        <f t="shared" si="112"/>
        <v>4387</v>
      </c>
      <c r="J394" s="91">
        <f t="shared" si="112"/>
        <v>0</v>
      </c>
      <c r="K394" s="91">
        <f t="shared" si="112"/>
        <v>0</v>
      </c>
      <c r="L394" s="91">
        <f t="shared" si="112"/>
        <v>0</v>
      </c>
      <c r="M394" s="91">
        <f t="shared" si="112"/>
        <v>0</v>
      </c>
      <c r="N394" s="91">
        <f t="shared" si="112"/>
        <v>6580</v>
      </c>
      <c r="O394" s="91">
        <f t="shared" si="112"/>
        <v>0</v>
      </c>
      <c r="P394" s="91">
        <f t="shared" si="112"/>
        <v>0</v>
      </c>
      <c r="Q394" s="91">
        <f t="shared" si="112"/>
        <v>0</v>
      </c>
      <c r="R394" s="91">
        <f t="shared" si="112"/>
        <v>0</v>
      </c>
      <c r="S394" s="91">
        <f t="shared" si="112"/>
        <v>329</v>
      </c>
      <c r="T394" s="91">
        <f t="shared" si="112"/>
        <v>0</v>
      </c>
      <c r="U394" s="91">
        <f t="shared" si="112"/>
        <v>0</v>
      </c>
      <c r="V394" s="91">
        <f t="shared" si="112"/>
        <v>0</v>
      </c>
      <c r="W394" s="84">
        <f t="shared" si="112"/>
        <v>11296</v>
      </c>
      <c r="X394" s="47">
        <f t="shared" si="112"/>
        <v>131111</v>
      </c>
      <c r="Y394" s="47">
        <f t="shared" si="112"/>
        <v>1573332</v>
      </c>
    </row>
    <row r="395" spans="1:25" ht="21" customHeight="1">
      <c r="A395" s="290" t="s">
        <v>243</v>
      </c>
      <c r="B395" s="291"/>
      <c r="C395" s="291"/>
      <c r="D395" s="291"/>
      <c r="E395" s="291"/>
      <c r="F395" s="291"/>
      <c r="G395" s="291"/>
      <c r="H395" s="291"/>
      <c r="I395" s="291"/>
      <c r="J395" s="291"/>
      <c r="K395" s="291"/>
      <c r="L395" s="291"/>
      <c r="M395" s="291"/>
      <c r="N395" s="291"/>
      <c r="O395" s="291"/>
      <c r="P395" s="291"/>
      <c r="Q395" s="291"/>
      <c r="R395" s="291"/>
      <c r="S395" s="291"/>
      <c r="T395" s="291"/>
      <c r="U395" s="291"/>
      <c r="V395" s="291"/>
      <c r="W395" s="291"/>
      <c r="X395" s="291"/>
      <c r="Y395" s="292"/>
    </row>
    <row r="396" spans="1:25" ht="21" customHeight="1">
      <c r="A396" s="62">
        <v>1</v>
      </c>
      <c r="B396" s="63" t="s">
        <v>185</v>
      </c>
      <c r="C396" s="62">
        <v>1</v>
      </c>
      <c r="D396" s="62">
        <v>10</v>
      </c>
      <c r="E396" s="37">
        <v>2026</v>
      </c>
      <c r="F396" s="76">
        <f aca="true" t="shared" si="113" ref="F396:F418">E396*C396</f>
        <v>2026</v>
      </c>
      <c r="G396" s="76"/>
      <c r="H396" s="76"/>
      <c r="I396" s="76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3">
        <f aca="true" t="shared" si="114" ref="W396:W418">SUM(H396:V396)</f>
        <v>0</v>
      </c>
      <c r="X396" s="41">
        <f aca="true" t="shared" si="115" ref="X396:X418">C396*E396+W396</f>
        <v>2026</v>
      </c>
      <c r="Y396" s="80">
        <f aca="true" t="shared" si="116" ref="Y396:Y418">X396*12</f>
        <v>24312</v>
      </c>
    </row>
    <row r="397" spans="1:25" ht="21" customHeight="1">
      <c r="A397" s="62">
        <v>3</v>
      </c>
      <c r="B397" s="63" t="s">
        <v>119</v>
      </c>
      <c r="C397" s="62">
        <v>1</v>
      </c>
      <c r="D397" s="62">
        <v>9</v>
      </c>
      <c r="E397" s="37">
        <v>1925</v>
      </c>
      <c r="F397" s="76">
        <f t="shared" si="113"/>
        <v>1925</v>
      </c>
      <c r="G397" s="76"/>
      <c r="H397" s="76"/>
      <c r="I397" s="76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3">
        <f t="shared" si="114"/>
        <v>0</v>
      </c>
      <c r="X397" s="41">
        <f t="shared" si="115"/>
        <v>1925</v>
      </c>
      <c r="Y397" s="80">
        <f t="shared" si="116"/>
        <v>23100</v>
      </c>
    </row>
    <row r="398" spans="1:25" ht="21" customHeight="1">
      <c r="A398" s="62">
        <v>4</v>
      </c>
      <c r="B398" s="63" t="s">
        <v>244</v>
      </c>
      <c r="C398" s="62">
        <v>2</v>
      </c>
      <c r="D398" s="62">
        <v>2</v>
      </c>
      <c r="E398" s="37">
        <v>1383</v>
      </c>
      <c r="F398" s="76">
        <f t="shared" si="113"/>
        <v>2766</v>
      </c>
      <c r="G398" s="76"/>
      <c r="H398" s="76"/>
      <c r="I398" s="76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3">
        <f t="shared" si="114"/>
        <v>0</v>
      </c>
      <c r="X398" s="41">
        <f t="shared" si="115"/>
        <v>2766</v>
      </c>
      <c r="Y398" s="80">
        <f t="shared" si="116"/>
        <v>33192</v>
      </c>
    </row>
    <row r="399" spans="1:25" ht="21" customHeight="1">
      <c r="A399" s="62">
        <v>5</v>
      </c>
      <c r="B399" s="63" t="s">
        <v>245</v>
      </c>
      <c r="C399" s="62">
        <v>3</v>
      </c>
      <c r="D399" s="62">
        <v>2</v>
      </c>
      <c r="E399" s="37">
        <v>1383</v>
      </c>
      <c r="F399" s="76">
        <f t="shared" si="113"/>
        <v>4149</v>
      </c>
      <c r="G399" s="76"/>
      <c r="H399" s="76"/>
      <c r="I399" s="76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3">
        <f t="shared" si="114"/>
        <v>0</v>
      </c>
      <c r="X399" s="41">
        <f t="shared" si="115"/>
        <v>4149</v>
      </c>
      <c r="Y399" s="80">
        <f t="shared" si="116"/>
        <v>49788</v>
      </c>
    </row>
    <row r="400" spans="1:25" ht="21" customHeight="1">
      <c r="A400" s="62">
        <v>6</v>
      </c>
      <c r="B400" s="63" t="s">
        <v>154</v>
      </c>
      <c r="C400" s="62">
        <v>1</v>
      </c>
      <c r="D400" s="62">
        <v>4</v>
      </c>
      <c r="E400" s="37">
        <v>1414</v>
      </c>
      <c r="F400" s="76">
        <f t="shared" si="113"/>
        <v>1414</v>
      </c>
      <c r="G400" s="76"/>
      <c r="H400" s="76"/>
      <c r="I400" s="76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3">
        <f t="shared" si="114"/>
        <v>0</v>
      </c>
      <c r="X400" s="41">
        <f t="shared" si="115"/>
        <v>1414</v>
      </c>
      <c r="Y400" s="80">
        <f t="shared" si="116"/>
        <v>16968</v>
      </c>
    </row>
    <row r="401" spans="1:25" ht="21" customHeight="1">
      <c r="A401" s="62">
        <v>7</v>
      </c>
      <c r="B401" s="63" t="s">
        <v>159</v>
      </c>
      <c r="C401" s="62">
        <v>1</v>
      </c>
      <c r="D401" s="62">
        <v>4</v>
      </c>
      <c r="E401" s="37">
        <v>1414</v>
      </c>
      <c r="F401" s="76">
        <f t="shared" si="113"/>
        <v>1414</v>
      </c>
      <c r="G401" s="76"/>
      <c r="H401" s="76"/>
      <c r="I401" s="76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3">
        <f t="shared" si="114"/>
        <v>0</v>
      </c>
      <c r="X401" s="41">
        <f t="shared" si="115"/>
        <v>1414</v>
      </c>
      <c r="Y401" s="80">
        <f t="shared" si="116"/>
        <v>16968</v>
      </c>
    </row>
    <row r="402" spans="1:25" ht="24.75" customHeight="1">
      <c r="A402" s="62">
        <v>8</v>
      </c>
      <c r="B402" s="108" t="s">
        <v>246</v>
      </c>
      <c r="C402" s="62">
        <v>1</v>
      </c>
      <c r="D402" s="62">
        <v>5</v>
      </c>
      <c r="E402" s="37">
        <v>1514</v>
      </c>
      <c r="F402" s="76">
        <f t="shared" si="113"/>
        <v>1514</v>
      </c>
      <c r="G402" s="76"/>
      <c r="H402" s="76"/>
      <c r="I402" s="76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3">
        <f t="shared" si="114"/>
        <v>0</v>
      </c>
      <c r="X402" s="41">
        <f t="shared" si="115"/>
        <v>1514</v>
      </c>
      <c r="Y402" s="80">
        <f t="shared" si="116"/>
        <v>18168</v>
      </c>
    </row>
    <row r="403" spans="1:25" ht="18.75" customHeight="1">
      <c r="A403" s="62">
        <v>9</v>
      </c>
      <c r="B403" s="108" t="s">
        <v>169</v>
      </c>
      <c r="C403" s="62">
        <v>1</v>
      </c>
      <c r="D403" s="62">
        <v>5</v>
      </c>
      <c r="E403" s="37">
        <v>1514</v>
      </c>
      <c r="F403" s="76">
        <f t="shared" si="113"/>
        <v>1514</v>
      </c>
      <c r="G403" s="76"/>
      <c r="H403" s="76"/>
      <c r="I403" s="76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3">
        <f t="shared" si="114"/>
        <v>0</v>
      </c>
      <c r="X403" s="41">
        <f t="shared" si="115"/>
        <v>1514</v>
      </c>
      <c r="Y403" s="80">
        <f t="shared" si="116"/>
        <v>18168</v>
      </c>
    </row>
    <row r="404" spans="1:25" ht="18.75" customHeight="1">
      <c r="A404" s="62">
        <v>10</v>
      </c>
      <c r="B404" s="63" t="s">
        <v>140</v>
      </c>
      <c r="C404" s="62">
        <v>1</v>
      </c>
      <c r="D404" s="62">
        <v>5</v>
      </c>
      <c r="E404" s="37">
        <v>1514</v>
      </c>
      <c r="F404" s="76">
        <f t="shared" si="113"/>
        <v>1514</v>
      </c>
      <c r="G404" s="76"/>
      <c r="H404" s="76"/>
      <c r="I404" s="76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3">
        <f t="shared" si="114"/>
        <v>0</v>
      </c>
      <c r="X404" s="41">
        <f t="shared" si="115"/>
        <v>1514</v>
      </c>
      <c r="Y404" s="80">
        <f t="shared" si="116"/>
        <v>18168</v>
      </c>
    </row>
    <row r="405" spans="1:25" ht="18.75" customHeight="1">
      <c r="A405" s="62">
        <v>11</v>
      </c>
      <c r="B405" s="63" t="s">
        <v>141</v>
      </c>
      <c r="C405" s="62">
        <v>1</v>
      </c>
      <c r="D405" s="62">
        <v>4</v>
      </c>
      <c r="E405" s="37">
        <v>1414</v>
      </c>
      <c r="F405" s="76">
        <f t="shared" si="113"/>
        <v>1414</v>
      </c>
      <c r="G405" s="76"/>
      <c r="H405" s="76"/>
      <c r="I405" s="76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3">
        <f t="shared" si="114"/>
        <v>0</v>
      </c>
      <c r="X405" s="41">
        <f t="shared" si="115"/>
        <v>1414</v>
      </c>
      <c r="Y405" s="80">
        <f t="shared" si="116"/>
        <v>16968</v>
      </c>
    </row>
    <row r="406" spans="1:25" ht="18.75" customHeight="1">
      <c r="A406" s="62">
        <v>12</v>
      </c>
      <c r="B406" s="63" t="s">
        <v>145</v>
      </c>
      <c r="C406" s="62">
        <v>4</v>
      </c>
      <c r="D406" s="62">
        <v>5</v>
      </c>
      <c r="E406" s="37">
        <v>1514</v>
      </c>
      <c r="F406" s="76">
        <f t="shared" si="113"/>
        <v>6056</v>
      </c>
      <c r="G406" s="76"/>
      <c r="H406" s="76"/>
      <c r="I406" s="76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3">
        <f t="shared" si="114"/>
        <v>0</v>
      </c>
      <c r="X406" s="41">
        <f t="shared" si="115"/>
        <v>6056</v>
      </c>
      <c r="Y406" s="80">
        <f t="shared" si="116"/>
        <v>72672</v>
      </c>
    </row>
    <row r="407" spans="1:25" ht="18.75" customHeight="1">
      <c r="A407" s="62">
        <v>13</v>
      </c>
      <c r="B407" s="63" t="s">
        <v>247</v>
      </c>
      <c r="C407" s="62">
        <v>7</v>
      </c>
      <c r="D407" s="62">
        <v>4</v>
      </c>
      <c r="E407" s="37">
        <v>1414</v>
      </c>
      <c r="F407" s="76">
        <f t="shared" si="113"/>
        <v>9898</v>
      </c>
      <c r="G407" s="76"/>
      <c r="H407" s="76"/>
      <c r="I407" s="76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3">
        <f t="shared" si="114"/>
        <v>0</v>
      </c>
      <c r="X407" s="41">
        <f t="shared" si="115"/>
        <v>9898</v>
      </c>
      <c r="Y407" s="80">
        <f t="shared" si="116"/>
        <v>118776</v>
      </c>
    </row>
    <row r="408" spans="1:25" ht="18.75" customHeight="1">
      <c r="A408" s="62">
        <v>14</v>
      </c>
      <c r="B408" s="63" t="s">
        <v>248</v>
      </c>
      <c r="C408" s="62">
        <v>1</v>
      </c>
      <c r="D408" s="62">
        <v>3</v>
      </c>
      <c r="E408" s="37">
        <v>1393</v>
      </c>
      <c r="F408" s="76">
        <f t="shared" si="113"/>
        <v>1393</v>
      </c>
      <c r="G408" s="76"/>
      <c r="H408" s="76"/>
      <c r="I408" s="76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3">
        <f t="shared" si="114"/>
        <v>0</v>
      </c>
      <c r="X408" s="41">
        <f t="shared" si="115"/>
        <v>1393</v>
      </c>
      <c r="Y408" s="80">
        <f t="shared" si="116"/>
        <v>16716</v>
      </c>
    </row>
    <row r="409" spans="1:25" ht="18.75" customHeight="1">
      <c r="A409" s="62">
        <v>15</v>
      </c>
      <c r="B409" s="63" t="s">
        <v>249</v>
      </c>
      <c r="C409" s="62">
        <v>1</v>
      </c>
      <c r="D409" s="62">
        <v>5</v>
      </c>
      <c r="E409" s="37">
        <v>1514</v>
      </c>
      <c r="F409" s="76">
        <f t="shared" si="113"/>
        <v>1514</v>
      </c>
      <c r="G409" s="76"/>
      <c r="H409" s="76"/>
      <c r="I409" s="76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3">
        <f t="shared" si="114"/>
        <v>0</v>
      </c>
      <c r="X409" s="41">
        <f t="shared" si="115"/>
        <v>1514</v>
      </c>
      <c r="Y409" s="80">
        <f t="shared" si="116"/>
        <v>18168</v>
      </c>
    </row>
    <row r="410" spans="1:25" ht="18.75" customHeight="1">
      <c r="A410" s="62">
        <v>16</v>
      </c>
      <c r="B410" s="63" t="s">
        <v>250</v>
      </c>
      <c r="C410" s="62">
        <v>1</v>
      </c>
      <c r="D410" s="62">
        <v>4</v>
      </c>
      <c r="E410" s="37">
        <v>1414</v>
      </c>
      <c r="F410" s="76">
        <f t="shared" si="113"/>
        <v>1414</v>
      </c>
      <c r="G410" s="76"/>
      <c r="H410" s="76"/>
      <c r="I410" s="76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3">
        <f t="shared" si="114"/>
        <v>0</v>
      </c>
      <c r="X410" s="41">
        <f t="shared" si="115"/>
        <v>1414</v>
      </c>
      <c r="Y410" s="80">
        <f t="shared" si="116"/>
        <v>16968</v>
      </c>
    </row>
    <row r="411" spans="1:25" ht="18.75" customHeight="1">
      <c r="A411" s="62">
        <v>17</v>
      </c>
      <c r="B411" s="63" t="s">
        <v>98</v>
      </c>
      <c r="C411" s="62">
        <v>4</v>
      </c>
      <c r="D411" s="62">
        <v>11</v>
      </c>
      <c r="E411" s="37">
        <v>2193</v>
      </c>
      <c r="F411" s="76">
        <f t="shared" si="113"/>
        <v>8772</v>
      </c>
      <c r="G411" s="76"/>
      <c r="H411" s="76"/>
      <c r="I411" s="42">
        <f>ROUNDUP(F411*20%,0)</f>
        <v>1755</v>
      </c>
      <c r="J411" s="42"/>
      <c r="K411" s="42"/>
      <c r="L411" s="42"/>
      <c r="M411" s="42"/>
      <c r="N411" s="42">
        <f>ROUNDUP(F411*30%,0)</f>
        <v>2632</v>
      </c>
      <c r="O411" s="42"/>
      <c r="P411" s="42"/>
      <c r="Q411" s="42"/>
      <c r="R411" s="42"/>
      <c r="S411" s="42"/>
      <c r="T411" s="42"/>
      <c r="U411" s="42"/>
      <c r="V411" s="42"/>
      <c r="W411" s="43">
        <f t="shared" si="114"/>
        <v>4387</v>
      </c>
      <c r="X411" s="41">
        <f t="shared" si="115"/>
        <v>13159</v>
      </c>
      <c r="Y411" s="80">
        <f t="shared" si="116"/>
        <v>157908</v>
      </c>
    </row>
    <row r="412" spans="1:25" ht="18.75" customHeight="1">
      <c r="A412" s="62">
        <v>18</v>
      </c>
      <c r="B412" s="63" t="s">
        <v>64</v>
      </c>
      <c r="C412" s="62">
        <v>1</v>
      </c>
      <c r="D412" s="62">
        <v>10</v>
      </c>
      <c r="E412" s="37">
        <v>2026</v>
      </c>
      <c r="F412" s="76">
        <f t="shared" si="113"/>
        <v>2026</v>
      </c>
      <c r="G412" s="76"/>
      <c r="H412" s="76"/>
      <c r="I412" s="76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3">
        <f t="shared" si="114"/>
        <v>0</v>
      </c>
      <c r="X412" s="41">
        <f t="shared" si="115"/>
        <v>2026</v>
      </c>
      <c r="Y412" s="80">
        <f t="shared" si="116"/>
        <v>24312</v>
      </c>
    </row>
    <row r="413" spans="1:25" ht="18.75" customHeight="1">
      <c r="A413" s="62">
        <v>19</v>
      </c>
      <c r="B413" s="63" t="s">
        <v>65</v>
      </c>
      <c r="C413" s="62">
        <v>5</v>
      </c>
      <c r="D413" s="62">
        <v>9</v>
      </c>
      <c r="E413" s="37">
        <v>1925</v>
      </c>
      <c r="F413" s="76">
        <f t="shared" si="113"/>
        <v>9625</v>
      </c>
      <c r="G413" s="76"/>
      <c r="H413" s="76"/>
      <c r="I413" s="76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3">
        <f t="shared" si="114"/>
        <v>0</v>
      </c>
      <c r="X413" s="41">
        <f t="shared" si="115"/>
        <v>9625</v>
      </c>
      <c r="Y413" s="80">
        <f t="shared" si="116"/>
        <v>115500</v>
      </c>
    </row>
    <row r="414" spans="1:25" ht="18.75" customHeight="1">
      <c r="A414" s="62">
        <v>20</v>
      </c>
      <c r="B414" s="63" t="s">
        <v>66</v>
      </c>
      <c r="C414" s="62">
        <v>1</v>
      </c>
      <c r="D414" s="62">
        <v>8</v>
      </c>
      <c r="E414" s="37">
        <v>1825</v>
      </c>
      <c r="F414" s="76">
        <f t="shared" si="113"/>
        <v>1825</v>
      </c>
      <c r="G414" s="76"/>
      <c r="H414" s="76"/>
      <c r="I414" s="76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3">
        <f t="shared" si="114"/>
        <v>0</v>
      </c>
      <c r="X414" s="41">
        <f t="shared" si="115"/>
        <v>1825</v>
      </c>
      <c r="Y414" s="80">
        <f t="shared" si="116"/>
        <v>21900</v>
      </c>
    </row>
    <row r="415" spans="1:25" ht="18.75" customHeight="1">
      <c r="A415" s="62">
        <v>21</v>
      </c>
      <c r="B415" s="63" t="s">
        <v>85</v>
      </c>
      <c r="C415" s="62">
        <v>1</v>
      </c>
      <c r="D415" s="62">
        <v>7</v>
      </c>
      <c r="E415" s="37">
        <v>1714</v>
      </c>
      <c r="F415" s="76">
        <f t="shared" si="113"/>
        <v>1714</v>
      </c>
      <c r="G415" s="76"/>
      <c r="H415" s="76"/>
      <c r="I415" s="76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3">
        <f t="shared" si="114"/>
        <v>0</v>
      </c>
      <c r="X415" s="41">
        <f t="shared" si="115"/>
        <v>1714</v>
      </c>
      <c r="Y415" s="80">
        <f t="shared" si="116"/>
        <v>20568</v>
      </c>
    </row>
    <row r="416" spans="1:25" ht="18.75" customHeight="1">
      <c r="A416" s="62">
        <v>22</v>
      </c>
      <c r="B416" s="63" t="s">
        <v>68</v>
      </c>
      <c r="C416" s="62">
        <v>1</v>
      </c>
      <c r="D416" s="62">
        <v>7</v>
      </c>
      <c r="E416" s="37">
        <v>1714</v>
      </c>
      <c r="F416" s="76">
        <f t="shared" si="113"/>
        <v>1714</v>
      </c>
      <c r="G416" s="76"/>
      <c r="H416" s="76"/>
      <c r="I416" s="76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3">
        <f t="shared" si="114"/>
        <v>0</v>
      </c>
      <c r="X416" s="41">
        <f t="shared" si="115"/>
        <v>1714</v>
      </c>
      <c r="Y416" s="80">
        <f t="shared" si="116"/>
        <v>20568</v>
      </c>
    </row>
    <row r="417" spans="1:25" ht="18.75" customHeight="1">
      <c r="A417" s="62">
        <v>23</v>
      </c>
      <c r="B417" s="63" t="s">
        <v>251</v>
      </c>
      <c r="C417" s="62">
        <v>0.5</v>
      </c>
      <c r="D417" s="62">
        <v>5</v>
      </c>
      <c r="E417" s="37">
        <v>1514</v>
      </c>
      <c r="F417" s="76">
        <f t="shared" si="113"/>
        <v>757</v>
      </c>
      <c r="G417" s="76"/>
      <c r="H417" s="76"/>
      <c r="I417" s="76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3">
        <f t="shared" si="114"/>
        <v>0</v>
      </c>
      <c r="X417" s="41">
        <f t="shared" si="115"/>
        <v>757</v>
      </c>
      <c r="Y417" s="80">
        <f t="shared" si="116"/>
        <v>9084</v>
      </c>
    </row>
    <row r="418" spans="1:25" ht="18.75" customHeight="1">
      <c r="A418" s="62">
        <v>24</v>
      </c>
      <c r="B418" s="63" t="s">
        <v>70</v>
      </c>
      <c r="C418" s="62">
        <v>5</v>
      </c>
      <c r="D418" s="62">
        <v>11</v>
      </c>
      <c r="E418" s="37">
        <v>2193</v>
      </c>
      <c r="F418" s="76">
        <f t="shared" si="113"/>
        <v>10965</v>
      </c>
      <c r="G418" s="76"/>
      <c r="H418" s="76"/>
      <c r="I418" s="42">
        <f>ROUNDUP(F418*20%,0)</f>
        <v>2193</v>
      </c>
      <c r="J418" s="42"/>
      <c r="K418" s="42"/>
      <c r="L418" s="42"/>
      <c r="M418" s="42"/>
      <c r="N418" s="42">
        <f>ROUNDUP(F418*30%,0)</f>
        <v>3290</v>
      </c>
      <c r="O418" s="42"/>
      <c r="P418" s="42"/>
      <c r="Q418" s="42"/>
      <c r="R418" s="42"/>
      <c r="S418" s="42"/>
      <c r="T418" s="42"/>
      <c r="U418" s="42"/>
      <c r="V418" s="42"/>
      <c r="W418" s="43">
        <f t="shared" si="114"/>
        <v>5483</v>
      </c>
      <c r="X418" s="41">
        <f t="shared" si="115"/>
        <v>16448</v>
      </c>
      <c r="Y418" s="80">
        <f t="shared" si="116"/>
        <v>197376</v>
      </c>
    </row>
    <row r="419" spans="1:25" ht="18.75" customHeight="1">
      <c r="A419" s="62"/>
      <c r="B419" s="63"/>
      <c r="C419" s="83">
        <f>SUM(C396:C418)</f>
        <v>45.5</v>
      </c>
      <c r="D419" s="83"/>
      <c r="E419" s="83"/>
      <c r="F419" s="84">
        <f>SUM(F396:F418)</f>
        <v>77323</v>
      </c>
      <c r="G419" s="84"/>
      <c r="H419" s="83">
        <f aca="true" t="shared" si="117" ref="H419:Y419">SUM(H396:H418)</f>
        <v>0</v>
      </c>
      <c r="I419" s="83">
        <f t="shared" si="117"/>
        <v>3948</v>
      </c>
      <c r="J419" s="83">
        <f t="shared" si="117"/>
        <v>0</v>
      </c>
      <c r="K419" s="83">
        <f t="shared" si="117"/>
        <v>0</v>
      </c>
      <c r="L419" s="83">
        <f t="shared" si="117"/>
        <v>0</v>
      </c>
      <c r="M419" s="83">
        <f t="shared" si="117"/>
        <v>0</v>
      </c>
      <c r="N419" s="83">
        <f t="shared" si="117"/>
        <v>5922</v>
      </c>
      <c r="O419" s="83">
        <f t="shared" si="117"/>
        <v>0</v>
      </c>
      <c r="P419" s="83">
        <f t="shared" si="117"/>
        <v>0</v>
      </c>
      <c r="Q419" s="83">
        <f t="shared" si="117"/>
        <v>0</v>
      </c>
      <c r="R419" s="83">
        <f t="shared" si="117"/>
        <v>0</v>
      </c>
      <c r="S419" s="83">
        <f t="shared" si="117"/>
        <v>0</v>
      </c>
      <c r="T419" s="83">
        <f t="shared" si="117"/>
        <v>0</v>
      </c>
      <c r="U419" s="83">
        <f t="shared" si="117"/>
        <v>0</v>
      </c>
      <c r="V419" s="83">
        <f t="shared" si="117"/>
        <v>0</v>
      </c>
      <c r="W419" s="83">
        <f t="shared" si="117"/>
        <v>9870</v>
      </c>
      <c r="X419" s="47">
        <f t="shared" si="117"/>
        <v>87193</v>
      </c>
      <c r="Y419" s="47">
        <f t="shared" si="117"/>
        <v>1046316</v>
      </c>
    </row>
    <row r="420" spans="1:25" ht="18" customHeight="1">
      <c r="A420" s="62"/>
      <c r="B420" s="63"/>
      <c r="C420" s="62"/>
      <c r="D420" s="6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83"/>
    </row>
    <row r="421" spans="1:29" ht="36.75" customHeight="1">
      <c r="A421" s="62"/>
      <c r="B421" s="119" t="s">
        <v>252</v>
      </c>
      <c r="C421" s="47">
        <f>C394+C419+C380+C372+C367+C362+C236+C359+C352+C348+C343+C337+C330+C301+C285+C232+C280+C268+C227+C217+C208+C180+C170+C164+C159+C148+C142+C137+C128+C121+C109+C98+C92+C86+C79+C74+C67+C62+C52+C187</f>
        <v>1989.8</v>
      </c>
      <c r="D421" s="47"/>
      <c r="E421" s="47"/>
      <c r="F421" s="47">
        <f aca="true" t="shared" si="118" ref="F421:Y421">F394+F419+F380+F372+F367+F362+F236+F359+F352+F348+F343+F337+F330+F301+F285+F232+F280+F268+F227+F217+F208+F180+F170+F164+F159+F148+F142+F137+F128+F121+F109+F98+F92+F86+F79+F74+F67+F62+F52+F187</f>
        <v>3455891.75</v>
      </c>
      <c r="G421" s="47">
        <f t="shared" si="118"/>
        <v>0</v>
      </c>
      <c r="H421" s="107">
        <f t="shared" si="118"/>
        <v>62851</v>
      </c>
      <c r="I421" s="107">
        <f t="shared" si="118"/>
        <v>91999</v>
      </c>
      <c r="J421" s="107">
        <f t="shared" si="118"/>
        <v>0</v>
      </c>
      <c r="K421" s="107">
        <f t="shared" si="118"/>
        <v>0</v>
      </c>
      <c r="L421" s="107">
        <f t="shared" si="118"/>
        <v>0</v>
      </c>
      <c r="M421" s="107">
        <f t="shared" si="118"/>
        <v>0</v>
      </c>
      <c r="N421" s="107">
        <f t="shared" si="118"/>
        <v>175710</v>
      </c>
      <c r="O421" s="107">
        <f t="shared" si="118"/>
        <v>0</v>
      </c>
      <c r="P421" s="107">
        <f t="shared" si="118"/>
        <v>0</v>
      </c>
      <c r="Q421" s="107">
        <f t="shared" si="118"/>
        <v>1786</v>
      </c>
      <c r="R421" s="107">
        <f t="shared" si="118"/>
        <v>0</v>
      </c>
      <c r="S421" s="107">
        <f t="shared" si="118"/>
        <v>2413</v>
      </c>
      <c r="T421" s="107">
        <f t="shared" si="118"/>
        <v>16543</v>
      </c>
      <c r="U421" s="107">
        <f t="shared" si="118"/>
        <v>0</v>
      </c>
      <c r="V421" s="107">
        <f t="shared" si="118"/>
        <v>71363</v>
      </c>
      <c r="W421" s="107">
        <f t="shared" si="118"/>
        <v>422665</v>
      </c>
      <c r="X421" s="47">
        <f t="shared" si="118"/>
        <v>3878556.75</v>
      </c>
      <c r="Y421" s="47">
        <f t="shared" si="118"/>
        <v>46542681</v>
      </c>
      <c r="Z421" s="47" t="e">
        <f>#REF!+#REF!+#REF!+Z394+Z419+#REF!+Z236+Z352+Z348+Z343+Z337+Z330+Z301+Z285+Z232+Z280+Z268+Z227+Z217+#REF!+Z208+Z180+Z170+Z164+Z159+Z148+Z142+Z137+Z128+Z121+Z109+Z98+Z92+Z86+Z79+Z74+Z62+Z52+#REF!+Z362+Z367+Z67+#REF!</f>
        <v>#REF!</v>
      </c>
      <c r="AA421" s="47" t="e">
        <f>#REF!+#REF!+#REF!+AA394+AA419+#REF!+AA236+AA352+AA348+AA343+AA337+AA330+AA301+AA285+AA232+AA280+AA268+AA227+AA217+#REF!+AA208+AA180+AA170+AA164+AA159+AA148+AA142+AA137+AA128+AA121+AA109+AA98+AA92+AA86+AA79+AA74+AA62+AA52+#REF!+AA362+AA367+AA67+#REF!</f>
        <v>#REF!</v>
      </c>
      <c r="AB421" s="47" t="e">
        <f>#REF!+#REF!+#REF!+AB394+AB419+#REF!+AB236+AB352+AB348+AB343+AB337+AB330+AB301+AB285+AB232+AB280+AB268+AB227+AB217+#REF!+AB208+AB180+AB170+AB164+AB159+AB148+AB142+AB137+AB128+AB121+AB109+AB98+AB92+AB86+AB79+AB74+AB62+AB52+#REF!+AB362+AB367+AB67+#REF!</f>
        <v>#REF!</v>
      </c>
      <c r="AC421" s="47" t="e">
        <f>#REF!+#REF!+#REF!+AC394+AC419+#REF!+AC236+AC352+AC348+AC343+AC337+AC330+AC301+AC285+AC232+AC280+AC268+AC227+AC217+#REF!+AC208+AC180+AC170+AC164+AC159+AC148+AC142+AC137+AC128+AC121+AC109+AC98+AC92+AC86+AC79+AC74+AC62+AC52+#REF!+AC362+AC367+AC67+#REF!</f>
        <v>#REF!</v>
      </c>
    </row>
    <row r="422" spans="1:25" ht="17.25" customHeight="1">
      <c r="A422" s="42"/>
      <c r="B422" s="42"/>
      <c r="C422" s="42"/>
      <c r="D422" s="40"/>
      <c r="E422" s="42"/>
      <c r="F422" s="43"/>
      <c r="G422" s="43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83"/>
    </row>
    <row r="423" spans="1:25" ht="24" customHeight="1">
      <c r="A423" s="62"/>
      <c r="B423" s="119" t="s">
        <v>253</v>
      </c>
      <c r="C423" s="84">
        <f>C421+C37+C25</f>
        <v>3078.1</v>
      </c>
      <c r="D423" s="110"/>
      <c r="E423" s="110"/>
      <c r="F423" s="120">
        <f aca="true" t="shared" si="119" ref="F423:Y423">F421+F37+F25</f>
        <v>7523018</v>
      </c>
      <c r="G423" s="120">
        <f t="shared" si="119"/>
        <v>2427</v>
      </c>
      <c r="H423" s="121">
        <f t="shared" si="119"/>
        <v>62851</v>
      </c>
      <c r="I423" s="121">
        <f t="shared" si="119"/>
        <v>91999</v>
      </c>
      <c r="J423" s="121">
        <f t="shared" si="119"/>
        <v>0</v>
      </c>
      <c r="K423" s="121">
        <f t="shared" si="119"/>
        <v>22280</v>
      </c>
      <c r="L423" s="121">
        <f t="shared" si="119"/>
        <v>21215</v>
      </c>
      <c r="M423" s="121">
        <f t="shared" si="119"/>
        <v>0</v>
      </c>
      <c r="N423" s="121">
        <f t="shared" si="119"/>
        <v>1335314</v>
      </c>
      <c r="O423" s="121">
        <f t="shared" si="119"/>
        <v>40913</v>
      </c>
      <c r="P423" s="120">
        <f t="shared" si="119"/>
        <v>254102</v>
      </c>
      <c r="Q423" s="121">
        <f t="shared" si="119"/>
        <v>499752</v>
      </c>
      <c r="R423" s="120">
        <f t="shared" si="119"/>
        <v>158389</v>
      </c>
      <c r="S423" s="120">
        <f t="shared" si="119"/>
        <v>361499</v>
      </c>
      <c r="T423" s="121">
        <f t="shared" si="119"/>
        <v>16543</v>
      </c>
      <c r="U423" s="121">
        <f t="shared" si="119"/>
        <v>9135</v>
      </c>
      <c r="V423" s="121">
        <f t="shared" si="119"/>
        <v>71363</v>
      </c>
      <c r="W423" s="120">
        <f t="shared" si="119"/>
        <v>2947782</v>
      </c>
      <c r="X423" s="120">
        <f t="shared" si="119"/>
        <v>10470800</v>
      </c>
      <c r="Y423" s="120">
        <f t="shared" si="119"/>
        <v>125649600</v>
      </c>
    </row>
    <row r="424" spans="1:25" ht="25.5" customHeight="1">
      <c r="A424" s="62"/>
      <c r="B424" s="119" t="s">
        <v>254</v>
      </c>
      <c r="C424" s="84"/>
      <c r="D424" s="110"/>
      <c r="E424" s="110"/>
      <c r="F424" s="120"/>
      <c r="G424" s="120"/>
      <c r="H424" s="121"/>
      <c r="I424" s="121"/>
      <c r="J424" s="121"/>
      <c r="K424" s="121"/>
      <c r="L424" s="121"/>
      <c r="M424" s="121"/>
      <c r="N424" s="121"/>
      <c r="O424" s="121"/>
      <c r="P424" s="120"/>
      <c r="Q424" s="121"/>
      <c r="R424" s="120"/>
      <c r="S424" s="120"/>
      <c r="T424" s="121"/>
      <c r="U424" s="121"/>
      <c r="V424" s="121"/>
      <c r="W424" s="120"/>
      <c r="X424" s="120"/>
      <c r="Y424" s="120">
        <v>490000</v>
      </c>
    </row>
    <row r="425" spans="1:25" ht="24" customHeight="1">
      <c r="A425" s="62"/>
      <c r="B425" s="122" t="s">
        <v>255</v>
      </c>
      <c r="C425" s="84"/>
      <c r="D425" s="110"/>
      <c r="E425" s="110"/>
      <c r="F425" s="120"/>
      <c r="G425" s="120"/>
      <c r="H425" s="121"/>
      <c r="I425" s="121"/>
      <c r="J425" s="121"/>
      <c r="K425" s="121"/>
      <c r="L425" s="121"/>
      <c r="M425" s="121"/>
      <c r="N425" s="121"/>
      <c r="O425" s="121"/>
      <c r="P425" s="120"/>
      <c r="Q425" s="121"/>
      <c r="R425" s="120"/>
      <c r="S425" s="120"/>
      <c r="T425" s="121"/>
      <c r="U425" s="121"/>
      <c r="V425" s="121"/>
      <c r="W425" s="120"/>
      <c r="X425" s="120"/>
      <c r="Y425" s="120">
        <v>4955800</v>
      </c>
    </row>
    <row r="426" spans="1:25" ht="24" customHeight="1">
      <c r="A426" s="62"/>
      <c r="B426" s="122" t="s">
        <v>256</v>
      </c>
      <c r="C426" s="84"/>
      <c r="D426" s="110"/>
      <c r="E426" s="110"/>
      <c r="F426" s="84"/>
      <c r="G426" s="84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84"/>
      <c r="Y426" s="120">
        <v>6381500</v>
      </c>
    </row>
    <row r="427" spans="1:25" s="126" customFormat="1" ht="50.25" customHeight="1">
      <c r="A427" s="123"/>
      <c r="B427" s="124" t="s">
        <v>257</v>
      </c>
      <c r="C427" s="58">
        <f>SUM(C423:C426)</f>
        <v>3078.1</v>
      </c>
      <c r="D427" s="58"/>
      <c r="E427" s="58"/>
      <c r="F427" s="58">
        <f aca="true" t="shared" si="120" ref="F427:Y427">SUM(F423:F426)</f>
        <v>7523018</v>
      </c>
      <c r="G427" s="125">
        <f t="shared" si="120"/>
        <v>2427</v>
      </c>
      <c r="H427" s="125">
        <f t="shared" si="120"/>
        <v>62851</v>
      </c>
      <c r="I427" s="125">
        <f t="shared" si="120"/>
        <v>91999</v>
      </c>
      <c r="J427" s="125">
        <f t="shared" si="120"/>
        <v>0</v>
      </c>
      <c r="K427" s="125">
        <f t="shared" si="120"/>
        <v>22280</v>
      </c>
      <c r="L427" s="125">
        <f t="shared" si="120"/>
        <v>21215</v>
      </c>
      <c r="M427" s="125">
        <f t="shared" si="120"/>
        <v>0</v>
      </c>
      <c r="N427" s="125">
        <f t="shared" si="120"/>
        <v>1335314</v>
      </c>
      <c r="O427" s="125">
        <f t="shared" si="120"/>
        <v>40913</v>
      </c>
      <c r="P427" s="125">
        <f t="shared" si="120"/>
        <v>254102</v>
      </c>
      <c r="Q427" s="125">
        <f t="shared" si="120"/>
        <v>499752</v>
      </c>
      <c r="R427" s="125">
        <f t="shared" si="120"/>
        <v>158389</v>
      </c>
      <c r="S427" s="125">
        <f t="shared" si="120"/>
        <v>361499</v>
      </c>
      <c r="T427" s="125">
        <f t="shared" si="120"/>
        <v>16543</v>
      </c>
      <c r="U427" s="125">
        <f t="shared" si="120"/>
        <v>9135</v>
      </c>
      <c r="V427" s="125">
        <f t="shared" si="120"/>
        <v>71363</v>
      </c>
      <c r="W427" s="125">
        <f t="shared" si="120"/>
        <v>2947782</v>
      </c>
      <c r="X427" s="58">
        <f t="shared" si="120"/>
        <v>10470800</v>
      </c>
      <c r="Y427" s="58">
        <f t="shared" si="120"/>
        <v>137476900</v>
      </c>
    </row>
    <row r="429" spans="1:25" ht="28.5" customHeight="1">
      <c r="A429" s="348" t="s">
        <v>258</v>
      </c>
      <c r="B429" s="349"/>
      <c r="C429" s="349"/>
      <c r="D429" s="349"/>
      <c r="E429" s="349"/>
      <c r="F429" s="349"/>
      <c r="G429" s="349"/>
      <c r="H429" s="349"/>
      <c r="I429" s="349"/>
      <c r="J429" s="349"/>
      <c r="K429" s="349"/>
      <c r="L429" s="349"/>
      <c r="M429" s="349"/>
      <c r="N429" s="349"/>
      <c r="O429" s="349"/>
      <c r="P429" s="349"/>
      <c r="Q429" s="349"/>
      <c r="R429" s="349"/>
      <c r="S429" s="349"/>
      <c r="T429" s="349"/>
      <c r="U429" s="349"/>
      <c r="V429" s="349"/>
      <c r="W429" s="349"/>
      <c r="X429" s="349"/>
      <c r="Y429" s="350"/>
    </row>
    <row r="430" spans="1:25" ht="28.5" customHeight="1">
      <c r="A430" s="290" t="s">
        <v>49</v>
      </c>
      <c r="B430" s="291"/>
      <c r="C430" s="291"/>
      <c r="D430" s="291"/>
      <c r="E430" s="291"/>
      <c r="F430" s="291"/>
      <c r="G430" s="291"/>
      <c r="H430" s="291"/>
      <c r="I430" s="291"/>
      <c r="J430" s="291"/>
      <c r="K430" s="291"/>
      <c r="L430" s="291"/>
      <c r="M430" s="291"/>
      <c r="N430" s="291"/>
      <c r="O430" s="291"/>
      <c r="P430" s="291"/>
      <c r="Q430" s="291"/>
      <c r="R430" s="291"/>
      <c r="S430" s="291"/>
      <c r="T430" s="291"/>
      <c r="U430" s="291"/>
      <c r="V430" s="291"/>
      <c r="W430" s="291"/>
      <c r="X430" s="291"/>
      <c r="Y430" s="292"/>
    </row>
    <row r="431" spans="1:25" ht="19.5" customHeight="1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</row>
    <row r="432" spans="1:25" ht="27.75" customHeight="1">
      <c r="A432" s="62">
        <v>1</v>
      </c>
      <c r="B432" s="63" t="s">
        <v>50</v>
      </c>
      <c r="C432" s="127"/>
      <c r="D432" s="127"/>
      <c r="E432" s="127">
        <v>4853</v>
      </c>
      <c r="F432" s="80"/>
      <c r="G432" s="65">
        <f>ROUNDUP(E432*100%,0)</f>
        <v>4853</v>
      </c>
      <c r="H432" s="62"/>
      <c r="I432" s="62"/>
      <c r="J432" s="62">
        <f>ROUNDUP(E432*15%,0)</f>
        <v>728</v>
      </c>
      <c r="K432" s="62"/>
      <c r="L432" s="62"/>
      <c r="M432" s="62"/>
      <c r="N432" s="62"/>
      <c r="O432" s="62"/>
      <c r="P432" s="62"/>
      <c r="Q432" s="62"/>
      <c r="R432" s="62"/>
      <c r="S432" s="127"/>
      <c r="T432" s="127"/>
      <c r="U432" s="127"/>
      <c r="V432" s="127"/>
      <c r="W432" s="80">
        <f>SUM(G432:V432)</f>
        <v>5581</v>
      </c>
      <c r="X432" s="80">
        <f>F432+W432</f>
        <v>5581</v>
      </c>
      <c r="Y432" s="80">
        <f>X432*12</f>
        <v>66972</v>
      </c>
    </row>
    <row r="433" spans="1:25" ht="27.75" customHeight="1">
      <c r="A433" s="62">
        <v>2</v>
      </c>
      <c r="B433" s="63" t="s">
        <v>51</v>
      </c>
      <c r="C433" s="127">
        <v>2</v>
      </c>
      <c r="D433" s="127"/>
      <c r="E433" s="127">
        <v>4610</v>
      </c>
      <c r="F433" s="80">
        <f>E433*C433</f>
        <v>9220</v>
      </c>
      <c r="G433" s="80"/>
      <c r="H433" s="62"/>
      <c r="I433" s="62"/>
      <c r="J433" s="62">
        <f>ROUNDUP(E433*15%,0)</f>
        <v>692</v>
      </c>
      <c r="K433" s="62"/>
      <c r="L433" s="62"/>
      <c r="M433" s="62"/>
      <c r="N433" s="62">
        <f>ROUNDUP(F433*30%,0)</f>
        <v>2766</v>
      </c>
      <c r="O433" s="62"/>
      <c r="P433" s="62">
        <f>ROUNDUP(E433*33%,0)</f>
        <v>1522</v>
      </c>
      <c r="Q433" s="62">
        <f>ROUNDUP(E433*25%,0)</f>
        <v>1153</v>
      </c>
      <c r="R433" s="62">
        <f>ROUNDUP(E433*20%,0)</f>
        <v>922</v>
      </c>
      <c r="S433" s="62">
        <f>ROUNDUP(E433*15%,0)</f>
        <v>692</v>
      </c>
      <c r="T433" s="127"/>
      <c r="U433" s="127"/>
      <c r="V433" s="127"/>
      <c r="W433" s="80">
        <f>SUM(G433:V433)</f>
        <v>7747</v>
      </c>
      <c r="X433" s="80">
        <f>F433+W433</f>
        <v>16967</v>
      </c>
      <c r="Y433" s="80">
        <f>X433*12</f>
        <v>203604</v>
      </c>
    </row>
    <row r="434" spans="1:25" ht="27.75" customHeight="1">
      <c r="A434" s="62">
        <v>3</v>
      </c>
      <c r="B434" s="63" t="s">
        <v>52</v>
      </c>
      <c r="C434" s="127">
        <f>3+1</f>
        <v>4</v>
      </c>
      <c r="D434" s="127">
        <v>22</v>
      </c>
      <c r="E434" s="127">
        <v>4519</v>
      </c>
      <c r="F434" s="80">
        <f>C434*E434</f>
        <v>18076</v>
      </c>
      <c r="G434" s="80"/>
      <c r="H434" s="80"/>
      <c r="I434" s="128"/>
      <c r="J434" s="128"/>
      <c r="K434" s="62"/>
      <c r="L434" s="127"/>
      <c r="M434" s="127"/>
      <c r="N434" s="62">
        <f>'[1]ХПИ'!N434+904</f>
        <v>4972</v>
      </c>
      <c r="O434" s="127"/>
      <c r="P434" s="62">
        <f>ROUNDUP(E434*33%,0)</f>
        <v>1492</v>
      </c>
      <c r="Q434" s="62">
        <f>ROUNDUP(E434*2*25%,0)+1130</f>
        <v>3390</v>
      </c>
      <c r="R434" s="62">
        <f>ROUNDUP(E434*20%,0)</f>
        <v>904</v>
      </c>
      <c r="S434" s="62">
        <f>ROUNDUP(E434*2*15%,0)+678</f>
        <v>2034</v>
      </c>
      <c r="T434" s="127"/>
      <c r="U434" s="127"/>
      <c r="V434" s="127"/>
      <c r="W434" s="80">
        <f>SUM(G434:V434)</f>
        <v>12792</v>
      </c>
      <c r="X434" s="80">
        <f>F434+W434</f>
        <v>30868</v>
      </c>
      <c r="Y434" s="80">
        <f>X434*12</f>
        <v>370416</v>
      </c>
    </row>
    <row r="435" spans="1:25" ht="36" customHeight="1">
      <c r="A435" s="62"/>
      <c r="B435" s="63" t="s">
        <v>259</v>
      </c>
      <c r="C435" s="51">
        <f>SUM(C432:C434)</f>
        <v>6</v>
      </c>
      <c r="D435" s="51"/>
      <c r="E435" s="127"/>
      <c r="F435" s="84">
        <f aca="true" t="shared" si="121" ref="F435:Y435">SUM(F432:F434)</f>
        <v>27296</v>
      </c>
      <c r="G435" s="91">
        <f t="shared" si="121"/>
        <v>4853</v>
      </c>
      <c r="H435" s="91">
        <f t="shared" si="121"/>
        <v>0</v>
      </c>
      <c r="I435" s="91">
        <f t="shared" si="121"/>
        <v>0</v>
      </c>
      <c r="J435" s="91">
        <f t="shared" si="121"/>
        <v>1420</v>
      </c>
      <c r="K435" s="91">
        <f t="shared" si="121"/>
        <v>0</v>
      </c>
      <c r="L435" s="91">
        <f t="shared" si="121"/>
        <v>0</v>
      </c>
      <c r="M435" s="91">
        <f t="shared" si="121"/>
        <v>0</v>
      </c>
      <c r="N435" s="91">
        <f t="shared" si="121"/>
        <v>7738</v>
      </c>
      <c r="O435" s="91">
        <f t="shared" si="121"/>
        <v>0</v>
      </c>
      <c r="P435" s="91">
        <f t="shared" si="121"/>
        <v>3014</v>
      </c>
      <c r="Q435" s="91">
        <f t="shared" si="121"/>
        <v>4543</v>
      </c>
      <c r="R435" s="91">
        <f t="shared" si="121"/>
        <v>1826</v>
      </c>
      <c r="S435" s="91">
        <f t="shared" si="121"/>
        <v>2726</v>
      </c>
      <c r="T435" s="91">
        <f t="shared" si="121"/>
        <v>0</v>
      </c>
      <c r="U435" s="91">
        <f t="shared" si="121"/>
        <v>0</v>
      </c>
      <c r="V435" s="91">
        <f t="shared" si="121"/>
        <v>0</v>
      </c>
      <c r="W435" s="84">
        <f t="shared" si="121"/>
        <v>26120</v>
      </c>
      <c r="X435" s="84">
        <f t="shared" si="121"/>
        <v>53416</v>
      </c>
      <c r="Y435" s="84">
        <f t="shared" si="121"/>
        <v>640992</v>
      </c>
    </row>
    <row r="436" spans="1:25" ht="19.5" customHeight="1">
      <c r="A436" s="62"/>
      <c r="B436" s="63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80"/>
      <c r="Y436" s="80"/>
    </row>
    <row r="437" spans="1:25" ht="33" customHeight="1">
      <c r="A437" s="290" t="s">
        <v>54</v>
      </c>
      <c r="B437" s="291"/>
      <c r="C437" s="291"/>
      <c r="D437" s="291"/>
      <c r="E437" s="291"/>
      <c r="F437" s="291"/>
      <c r="G437" s="291"/>
      <c r="H437" s="291"/>
      <c r="I437" s="291"/>
      <c r="J437" s="291"/>
      <c r="K437" s="291"/>
      <c r="L437" s="291"/>
      <c r="M437" s="291"/>
      <c r="N437" s="291"/>
      <c r="O437" s="291"/>
      <c r="P437" s="291"/>
      <c r="Q437" s="291"/>
      <c r="R437" s="291"/>
      <c r="S437" s="291"/>
      <c r="T437" s="291"/>
      <c r="U437" s="291"/>
      <c r="V437" s="291"/>
      <c r="W437" s="291"/>
      <c r="X437" s="291"/>
      <c r="Y437" s="292"/>
    </row>
    <row r="438" spans="1:25" ht="33" customHeight="1">
      <c r="A438" s="37">
        <v>1</v>
      </c>
      <c r="B438" s="53" t="s">
        <v>55</v>
      </c>
      <c r="C438" s="39">
        <v>0.75</v>
      </c>
      <c r="D438" s="39">
        <v>21</v>
      </c>
      <c r="E438" s="54">
        <v>4285</v>
      </c>
      <c r="F438" s="80">
        <f aca="true" t="shared" si="122" ref="F438:F447">C438*E438</f>
        <v>3213.75</v>
      </c>
      <c r="G438" s="41"/>
      <c r="H438" s="40"/>
      <c r="I438" s="40"/>
      <c r="J438" s="40"/>
      <c r="K438" s="40"/>
      <c r="L438" s="40"/>
      <c r="M438" s="40"/>
      <c r="N438" s="40"/>
      <c r="O438" s="40"/>
      <c r="P438" s="40">
        <v>1061</v>
      </c>
      <c r="Q438" s="40"/>
      <c r="R438" s="40">
        <v>643</v>
      </c>
      <c r="S438" s="40"/>
      <c r="T438" s="40"/>
      <c r="U438" s="40"/>
      <c r="V438" s="40"/>
      <c r="W438" s="129">
        <f aca="true" t="shared" si="123" ref="W438:W447">SUM(H438:V438)</f>
        <v>1704</v>
      </c>
      <c r="X438" s="80">
        <f aca="true" t="shared" si="124" ref="X438:X447">F438+W438</f>
        <v>4917.75</v>
      </c>
      <c r="Y438" s="43">
        <f aca="true" t="shared" si="125" ref="Y438:Y447">X438*12</f>
        <v>59013</v>
      </c>
    </row>
    <row r="439" spans="1:25" ht="24.75" customHeight="1">
      <c r="A439" s="37">
        <v>2</v>
      </c>
      <c r="B439" s="108" t="s">
        <v>56</v>
      </c>
      <c r="C439" s="127">
        <f>25.25+0.25</f>
        <v>25.5</v>
      </c>
      <c r="D439" s="127">
        <v>20</v>
      </c>
      <c r="E439" s="130">
        <v>4051</v>
      </c>
      <c r="F439" s="80">
        <f t="shared" si="122"/>
        <v>103300.5</v>
      </c>
      <c r="G439" s="80"/>
      <c r="H439" s="80"/>
      <c r="I439" s="131"/>
      <c r="J439" s="62"/>
      <c r="K439" s="62">
        <f>ROUNDUP(E439*0.5*20%,0)</f>
        <v>406</v>
      </c>
      <c r="L439" s="62"/>
      <c r="M439" s="62">
        <f>ROUNDUP(E439*20*10%,0)</f>
        <v>8102</v>
      </c>
      <c r="N439" s="62">
        <f>'[1]ХПИ'!N438</f>
        <v>30687</v>
      </c>
      <c r="O439" s="62">
        <f>ROUNDUP(E439*3*30%,0)</f>
        <v>3646</v>
      </c>
      <c r="P439" s="62">
        <f>ROUNDUP(E439*20.5*33%,0)+335</f>
        <v>27741</v>
      </c>
      <c r="Q439" s="62">
        <f>ROUNDUP(E439*4.75*25%,0)</f>
        <v>4811</v>
      </c>
      <c r="R439" s="62">
        <f>ROUNDUP(E439*20.5*20%,0)+203</f>
        <v>16813</v>
      </c>
      <c r="S439" s="62">
        <f>ROUNDUP(E439*4.75*15%,0)</f>
        <v>2887</v>
      </c>
      <c r="T439" s="131"/>
      <c r="U439" s="131"/>
      <c r="V439" s="127"/>
      <c r="W439" s="129">
        <f t="shared" si="123"/>
        <v>95093</v>
      </c>
      <c r="X439" s="80">
        <f t="shared" si="124"/>
        <v>198393.5</v>
      </c>
      <c r="Y439" s="80">
        <f t="shared" si="125"/>
        <v>2380722</v>
      </c>
    </row>
    <row r="440" spans="1:25" ht="25.5" customHeight="1">
      <c r="A440" s="37">
        <v>3</v>
      </c>
      <c r="B440" s="108" t="s">
        <v>56</v>
      </c>
      <c r="C440" s="127">
        <f>22-0.5</f>
        <v>21.5</v>
      </c>
      <c r="D440" s="127">
        <v>19</v>
      </c>
      <c r="E440" s="127">
        <v>3806</v>
      </c>
      <c r="F440" s="80">
        <f t="shared" si="122"/>
        <v>81829</v>
      </c>
      <c r="G440" s="80"/>
      <c r="H440" s="80"/>
      <c r="I440" s="131"/>
      <c r="J440" s="62"/>
      <c r="K440" s="62"/>
      <c r="L440" s="62"/>
      <c r="M440" s="62"/>
      <c r="N440" s="62">
        <f>ROUNDUP(F440*29%,0)</f>
        <v>23731</v>
      </c>
      <c r="O440" s="62"/>
      <c r="P440" s="62"/>
      <c r="Q440" s="62">
        <f>ROUNDUP(E440*21*25%,0)</f>
        <v>19982</v>
      </c>
      <c r="R440" s="62"/>
      <c r="S440" s="62">
        <f>ROUNDUP(E440*21*15%,0)</f>
        <v>11989</v>
      </c>
      <c r="T440" s="131"/>
      <c r="U440" s="131"/>
      <c r="V440" s="127"/>
      <c r="W440" s="129">
        <f t="shared" si="123"/>
        <v>55702</v>
      </c>
      <c r="X440" s="80">
        <f t="shared" si="124"/>
        <v>137531</v>
      </c>
      <c r="Y440" s="80">
        <f t="shared" si="125"/>
        <v>1650372</v>
      </c>
    </row>
    <row r="441" spans="1:25" ht="27" customHeight="1">
      <c r="A441" s="37">
        <v>4</v>
      </c>
      <c r="B441" s="108" t="s">
        <v>56</v>
      </c>
      <c r="C441" s="127">
        <v>0.5</v>
      </c>
      <c r="D441" s="127">
        <v>16</v>
      </c>
      <c r="E441" s="127">
        <v>3105</v>
      </c>
      <c r="F441" s="80">
        <f t="shared" si="122"/>
        <v>1552.5</v>
      </c>
      <c r="G441" s="80"/>
      <c r="H441" s="80"/>
      <c r="I441" s="131"/>
      <c r="J441" s="62"/>
      <c r="K441" s="62"/>
      <c r="L441" s="62"/>
      <c r="M441" s="62"/>
      <c r="N441" s="62">
        <f>ROUNDUP(F441*29%,0)</f>
        <v>451</v>
      </c>
      <c r="O441" s="62"/>
      <c r="P441" s="62"/>
      <c r="Q441" s="62">
        <f>ROUNDUP(E441*0.5*25%,0)</f>
        <v>389</v>
      </c>
      <c r="R441" s="62">
        <f>ROUNDUP(E441*0.5*20%,0)</f>
        <v>311</v>
      </c>
      <c r="S441" s="62"/>
      <c r="T441" s="131"/>
      <c r="U441" s="131"/>
      <c r="V441" s="127"/>
      <c r="W441" s="129">
        <f t="shared" si="123"/>
        <v>1151</v>
      </c>
      <c r="X441" s="80">
        <f t="shared" si="124"/>
        <v>2703.5</v>
      </c>
      <c r="Y441" s="80">
        <f t="shared" si="125"/>
        <v>32442</v>
      </c>
    </row>
    <row r="442" spans="1:25" ht="26.25" customHeight="1">
      <c r="A442" s="37">
        <v>5</v>
      </c>
      <c r="B442" s="97" t="s">
        <v>260</v>
      </c>
      <c r="C442" s="127">
        <f>103.25+0.75+2.5+1.25+1.25</f>
        <v>109</v>
      </c>
      <c r="D442" s="127">
        <v>19</v>
      </c>
      <c r="E442" s="127">
        <v>3806</v>
      </c>
      <c r="F442" s="80">
        <f t="shared" si="122"/>
        <v>414854</v>
      </c>
      <c r="G442" s="80"/>
      <c r="H442" s="80"/>
      <c r="I442" s="132"/>
      <c r="J442" s="62">
        <f>ROUNDUP(E442*1*30%,0)</f>
        <v>1142</v>
      </c>
      <c r="K442" s="131"/>
      <c r="L442" s="62"/>
      <c r="M442" s="62">
        <f>ROUNDUP(E442*20*10%,0)</f>
        <v>7612</v>
      </c>
      <c r="N442" s="62">
        <f>'[1]ХПИ'!N441+571+952+1333+572</f>
        <v>109530</v>
      </c>
      <c r="O442" s="62">
        <f>ROUNDUP(E442*19*30%,0)</f>
        <v>21695</v>
      </c>
      <c r="P442" s="132"/>
      <c r="Q442" s="62">
        <f>ROUNDUP(E442*79.25*25%,0)+714+2379+238+238</f>
        <v>78976</v>
      </c>
      <c r="R442" s="132"/>
      <c r="S442" s="62">
        <f>ROUNDUP(E442*103.25*15%,0)+429+1428+714+714</f>
        <v>62231</v>
      </c>
      <c r="T442" s="62"/>
      <c r="U442" s="62">
        <f>ROUNDUP(E442*3*12%,0)+343+572</f>
        <v>2286</v>
      </c>
      <c r="V442" s="127"/>
      <c r="W442" s="129">
        <f t="shared" si="123"/>
        <v>283472</v>
      </c>
      <c r="X442" s="80">
        <f t="shared" si="124"/>
        <v>698326</v>
      </c>
      <c r="Y442" s="80">
        <f t="shared" si="125"/>
        <v>8379912</v>
      </c>
    </row>
    <row r="443" spans="1:25" ht="26.25" customHeight="1">
      <c r="A443" s="37">
        <v>6</v>
      </c>
      <c r="B443" s="97" t="s">
        <v>260</v>
      </c>
      <c r="C443" s="127">
        <v>36.75</v>
      </c>
      <c r="D443" s="127">
        <v>17</v>
      </c>
      <c r="E443" s="127">
        <v>3339</v>
      </c>
      <c r="F443" s="80">
        <f t="shared" si="122"/>
        <v>122708.25</v>
      </c>
      <c r="G443" s="80"/>
      <c r="H443" s="80"/>
      <c r="I443" s="132"/>
      <c r="J443" s="62"/>
      <c r="K443" s="131"/>
      <c r="L443" s="62"/>
      <c r="M443" s="62"/>
      <c r="N443" s="62">
        <f>ROUNDUP(F443*27%,0)</f>
        <v>33132</v>
      </c>
      <c r="O443" s="62"/>
      <c r="P443" s="132"/>
      <c r="Q443" s="62"/>
      <c r="R443" s="132"/>
      <c r="S443" s="62">
        <f>ROUNDUP(E443*23.25*15%,0)</f>
        <v>11645</v>
      </c>
      <c r="T443" s="62"/>
      <c r="U443" s="62"/>
      <c r="V443" s="127"/>
      <c r="W443" s="129">
        <f t="shared" si="123"/>
        <v>44777</v>
      </c>
      <c r="X443" s="80">
        <f t="shared" si="124"/>
        <v>167485.25</v>
      </c>
      <c r="Y443" s="80">
        <f t="shared" si="125"/>
        <v>2009823</v>
      </c>
    </row>
    <row r="444" spans="1:25" ht="26.25" customHeight="1">
      <c r="A444" s="37">
        <v>7</v>
      </c>
      <c r="B444" s="97" t="s">
        <v>260</v>
      </c>
      <c r="C444" s="127">
        <v>4.5</v>
      </c>
      <c r="D444" s="127">
        <v>16</v>
      </c>
      <c r="E444" s="127">
        <v>3105</v>
      </c>
      <c r="F444" s="80">
        <f t="shared" si="122"/>
        <v>13972.5</v>
      </c>
      <c r="G444" s="80"/>
      <c r="H444" s="80"/>
      <c r="I444" s="132"/>
      <c r="J444" s="62"/>
      <c r="K444" s="131"/>
      <c r="L444" s="62"/>
      <c r="M444" s="62">
        <f>ROUNDUP(E444*20*10%,0)</f>
        <v>6210</v>
      </c>
      <c r="N444" s="62">
        <f>ROUNDUP(F444*20%,0)</f>
        <v>2795</v>
      </c>
      <c r="O444" s="62"/>
      <c r="P444" s="132"/>
      <c r="Q444" s="62"/>
      <c r="R444" s="132"/>
      <c r="S444" s="62">
        <f>ROUNDUP(E444*4.5*15%,0)</f>
        <v>2096</v>
      </c>
      <c r="T444" s="62"/>
      <c r="U444" s="62"/>
      <c r="V444" s="127"/>
      <c r="W444" s="129">
        <f t="shared" si="123"/>
        <v>11101</v>
      </c>
      <c r="X444" s="80">
        <f t="shared" si="124"/>
        <v>25073.5</v>
      </c>
      <c r="Y444" s="80">
        <f t="shared" si="125"/>
        <v>300882</v>
      </c>
    </row>
    <row r="445" spans="1:25" ht="27" customHeight="1">
      <c r="A445" s="37">
        <v>8</v>
      </c>
      <c r="B445" s="63" t="s">
        <v>261</v>
      </c>
      <c r="C445" s="127">
        <f>151.5+1+7.75+5</f>
        <v>165.25</v>
      </c>
      <c r="D445" s="127">
        <v>17</v>
      </c>
      <c r="E445" s="127">
        <v>3339</v>
      </c>
      <c r="F445" s="80">
        <f t="shared" si="122"/>
        <v>551769.75</v>
      </c>
      <c r="G445" s="80"/>
      <c r="H445" s="80"/>
      <c r="I445" s="131"/>
      <c r="J445" s="62"/>
      <c r="K445" s="131"/>
      <c r="L445" s="62"/>
      <c r="M445" s="62">
        <f>ROUNDUP(E445*20*10%,0)</f>
        <v>6678</v>
      </c>
      <c r="N445" s="62">
        <f>'[1]ХПИ'!N444+251+1670+3340</f>
        <v>127581</v>
      </c>
      <c r="O445" s="62">
        <f>ROUNDUP(E445*3*30%,0)</f>
        <v>3006</v>
      </c>
      <c r="P445" s="131"/>
      <c r="Q445" s="131"/>
      <c r="R445" s="131"/>
      <c r="S445" s="62">
        <f>ROUNDUP(E445*1.25*15%,0)+376</f>
        <v>1003</v>
      </c>
      <c r="T445" s="131"/>
      <c r="U445" s="131"/>
      <c r="V445" s="127"/>
      <c r="W445" s="129">
        <f t="shared" si="123"/>
        <v>138268</v>
      </c>
      <c r="X445" s="80">
        <f t="shared" si="124"/>
        <v>690037.75</v>
      </c>
      <c r="Y445" s="80">
        <f t="shared" si="125"/>
        <v>8280453</v>
      </c>
    </row>
    <row r="446" spans="1:25" ht="36" customHeight="1">
      <c r="A446" s="37">
        <v>9</v>
      </c>
      <c r="B446" s="63" t="s">
        <v>262</v>
      </c>
      <c r="C446" s="127">
        <f>127.05-1+4</f>
        <v>130.05</v>
      </c>
      <c r="D446" s="127">
        <v>16</v>
      </c>
      <c r="E446" s="127">
        <v>3105</v>
      </c>
      <c r="F446" s="80">
        <f t="shared" si="122"/>
        <v>403805.25000000006</v>
      </c>
      <c r="G446" s="80"/>
      <c r="H446" s="80"/>
      <c r="I446" s="131"/>
      <c r="J446" s="62"/>
      <c r="K446" s="131"/>
      <c r="L446" s="62">
        <f>ROUNDUP(E446*5*10%,0)</f>
        <v>1553</v>
      </c>
      <c r="M446" s="62">
        <f>ROUNDUP(E446*20*10%,0)</f>
        <v>6210</v>
      </c>
      <c r="N446" s="62">
        <v>50294</v>
      </c>
      <c r="O446" s="131"/>
      <c r="P446" s="131"/>
      <c r="Q446" s="131"/>
      <c r="R446" s="131"/>
      <c r="S446" s="62"/>
      <c r="T446" s="131"/>
      <c r="U446" s="131"/>
      <c r="V446" s="127"/>
      <c r="W446" s="129">
        <f t="shared" si="123"/>
        <v>58057</v>
      </c>
      <c r="X446" s="80">
        <f t="shared" si="124"/>
        <v>461862.25000000006</v>
      </c>
      <c r="Y446" s="80">
        <f t="shared" si="125"/>
        <v>5542347.000000001</v>
      </c>
    </row>
    <row r="447" spans="1:25" ht="30" customHeight="1">
      <c r="A447" s="37">
        <v>10</v>
      </c>
      <c r="B447" s="108" t="s">
        <v>263</v>
      </c>
      <c r="C447" s="127">
        <v>81</v>
      </c>
      <c r="D447" s="127">
        <v>15</v>
      </c>
      <c r="E447" s="127">
        <v>2872</v>
      </c>
      <c r="F447" s="80">
        <f t="shared" si="122"/>
        <v>232632</v>
      </c>
      <c r="G447" s="80"/>
      <c r="H447" s="80"/>
      <c r="I447" s="133"/>
      <c r="J447" s="131"/>
      <c r="K447" s="131"/>
      <c r="L447" s="131"/>
      <c r="M447" s="131"/>
      <c r="N447" s="133"/>
      <c r="O447" s="133"/>
      <c r="P447" s="133"/>
      <c r="Q447" s="133"/>
      <c r="R447" s="131"/>
      <c r="S447" s="131"/>
      <c r="T447" s="131"/>
      <c r="U447" s="127"/>
      <c r="V447" s="127"/>
      <c r="W447" s="129">
        <f t="shared" si="123"/>
        <v>0</v>
      </c>
      <c r="X447" s="80">
        <f t="shared" si="124"/>
        <v>232632</v>
      </c>
      <c r="Y447" s="80">
        <f t="shared" si="125"/>
        <v>2791584</v>
      </c>
    </row>
    <row r="448" spans="1:29" ht="39.75" customHeight="1">
      <c r="A448" s="37"/>
      <c r="B448" s="108" t="s">
        <v>264</v>
      </c>
      <c r="C448" s="84">
        <f>SUM(C438:C447)</f>
        <v>574.8</v>
      </c>
      <c r="D448" s="84"/>
      <c r="E448" s="84"/>
      <c r="F448" s="84">
        <f aca="true" t="shared" si="126" ref="F448:AC448">SUM(F438:F447)</f>
        <v>1929637.5</v>
      </c>
      <c r="G448" s="91">
        <f t="shared" si="126"/>
        <v>0</v>
      </c>
      <c r="H448" s="91">
        <f t="shared" si="126"/>
        <v>0</v>
      </c>
      <c r="I448" s="91">
        <f t="shared" si="126"/>
        <v>0</v>
      </c>
      <c r="J448" s="91">
        <f t="shared" si="126"/>
        <v>1142</v>
      </c>
      <c r="K448" s="91">
        <f t="shared" si="126"/>
        <v>406</v>
      </c>
      <c r="L448" s="91">
        <f t="shared" si="126"/>
        <v>1553</v>
      </c>
      <c r="M448" s="91">
        <f t="shared" si="126"/>
        <v>34812</v>
      </c>
      <c r="N448" s="91">
        <f t="shared" si="126"/>
        <v>378201</v>
      </c>
      <c r="O448" s="91">
        <f t="shared" si="126"/>
        <v>28347</v>
      </c>
      <c r="P448" s="91">
        <f t="shared" si="126"/>
        <v>28802</v>
      </c>
      <c r="Q448" s="91">
        <f t="shared" si="126"/>
        <v>104158</v>
      </c>
      <c r="R448" s="91">
        <f t="shared" si="126"/>
        <v>17767</v>
      </c>
      <c r="S448" s="91">
        <f t="shared" si="126"/>
        <v>91851</v>
      </c>
      <c r="T448" s="91">
        <f t="shared" si="126"/>
        <v>0</v>
      </c>
      <c r="U448" s="91">
        <f t="shared" si="126"/>
        <v>2286</v>
      </c>
      <c r="V448" s="91">
        <f t="shared" si="126"/>
        <v>0</v>
      </c>
      <c r="W448" s="91">
        <f t="shared" si="126"/>
        <v>689325</v>
      </c>
      <c r="X448" s="84">
        <f t="shared" si="126"/>
        <v>2618962.5</v>
      </c>
      <c r="Y448" s="84">
        <f t="shared" si="126"/>
        <v>31427550</v>
      </c>
      <c r="Z448" s="84">
        <f t="shared" si="126"/>
        <v>0</v>
      </c>
      <c r="AA448" s="84">
        <f t="shared" si="126"/>
        <v>0</v>
      </c>
      <c r="AB448" s="84">
        <f t="shared" si="126"/>
        <v>0</v>
      </c>
      <c r="AC448" s="84">
        <f t="shared" si="126"/>
        <v>0</v>
      </c>
    </row>
    <row r="449" spans="1:25" ht="33" customHeight="1">
      <c r="A449" s="37"/>
      <c r="B449" s="42" t="s">
        <v>265</v>
      </c>
      <c r="C449" s="127"/>
      <c r="D449" s="127"/>
      <c r="E449" s="127"/>
      <c r="F449" s="127"/>
      <c r="G449" s="127"/>
      <c r="H449" s="127"/>
      <c r="I449" s="127"/>
      <c r="J449" s="134"/>
      <c r="K449" s="134"/>
      <c r="L449" s="127"/>
      <c r="M449" s="80"/>
      <c r="N449" s="127"/>
      <c r="O449" s="80"/>
      <c r="P449" s="80"/>
      <c r="Q449" s="80"/>
      <c r="R449" s="80"/>
      <c r="S449" s="127"/>
      <c r="T449" s="80"/>
      <c r="U449" s="127"/>
      <c r="V449" s="127"/>
      <c r="W449" s="127"/>
      <c r="X449" s="70">
        <v>308657.5</v>
      </c>
      <c r="Y449" s="70">
        <f>X449*12</f>
        <v>3703890</v>
      </c>
    </row>
    <row r="450" spans="1:25" ht="21.75" customHeight="1">
      <c r="A450" s="272" t="s">
        <v>266</v>
      </c>
      <c r="B450" s="272"/>
      <c r="C450" s="272"/>
      <c r="D450" s="272"/>
      <c r="E450" s="272"/>
      <c r="F450" s="272"/>
      <c r="G450" s="272"/>
      <c r="H450" s="272"/>
      <c r="I450" s="272"/>
      <c r="J450" s="272"/>
      <c r="K450" s="272"/>
      <c r="L450" s="272"/>
      <c r="M450" s="272"/>
      <c r="N450" s="272"/>
      <c r="O450" s="272"/>
      <c r="P450" s="272"/>
      <c r="Q450" s="272"/>
      <c r="R450" s="272"/>
      <c r="S450" s="272"/>
      <c r="T450" s="272"/>
      <c r="U450" s="272"/>
      <c r="V450" s="272"/>
      <c r="W450" s="272"/>
      <c r="X450" s="272"/>
      <c r="Y450" s="272"/>
    </row>
    <row r="451" spans="1:25" s="140" customFormat="1" ht="33.75" customHeight="1">
      <c r="A451" s="135">
        <v>1</v>
      </c>
      <c r="B451" s="136" t="s">
        <v>185</v>
      </c>
      <c r="C451" s="40">
        <v>1</v>
      </c>
      <c r="D451" s="137">
        <v>21</v>
      </c>
      <c r="E451" s="137">
        <v>4285</v>
      </c>
      <c r="F451" s="138">
        <f>C451*E451</f>
        <v>4285</v>
      </c>
      <c r="G451" s="138"/>
      <c r="H451" s="139"/>
      <c r="I451" s="139"/>
      <c r="J451" s="139"/>
      <c r="K451" s="139"/>
      <c r="L451" s="139"/>
      <c r="M451" s="139"/>
      <c r="N451" s="139">
        <f>ROUNDUP(F451*30%,0)</f>
        <v>1286</v>
      </c>
      <c r="O451" s="139"/>
      <c r="P451" s="139"/>
      <c r="Q451" s="139">
        <f>ROUNDUP(F451*25%,0)</f>
        <v>1072</v>
      </c>
      <c r="R451" s="139"/>
      <c r="S451" s="139">
        <f>ROUNDUP(F451*15%,0)</f>
        <v>643</v>
      </c>
      <c r="T451" s="139"/>
      <c r="U451" s="139"/>
      <c r="V451" s="139"/>
      <c r="W451" s="139">
        <f>SUM(H451:V451)</f>
        <v>3001</v>
      </c>
      <c r="X451" s="138">
        <f>F451+W451</f>
        <v>7286</v>
      </c>
      <c r="Y451" s="138">
        <f>X451*12</f>
        <v>87432</v>
      </c>
    </row>
    <row r="452" spans="1:25" s="140" customFormat="1" ht="33.75" customHeight="1">
      <c r="A452" s="141">
        <v>2</v>
      </c>
      <c r="B452" s="136" t="s">
        <v>267</v>
      </c>
      <c r="C452" s="40">
        <v>0.5</v>
      </c>
      <c r="D452" s="142"/>
      <c r="E452" s="139">
        <v>4071</v>
      </c>
      <c r="F452" s="138">
        <f>C452*E452</f>
        <v>2035.5</v>
      </c>
      <c r="G452" s="138"/>
      <c r="H452" s="139"/>
      <c r="I452" s="139"/>
      <c r="J452" s="139"/>
      <c r="K452" s="139"/>
      <c r="L452" s="139"/>
      <c r="M452" s="139"/>
      <c r="N452" s="139">
        <f>ROUNDUP(F452*30%,0)</f>
        <v>611</v>
      </c>
      <c r="O452" s="139"/>
      <c r="P452" s="139"/>
      <c r="Q452" s="139">
        <f>ROUNDUP(F452*25%,0)</f>
        <v>509</v>
      </c>
      <c r="R452" s="139"/>
      <c r="S452" s="139">
        <f>ROUNDUP(F452*15%,0)</f>
        <v>306</v>
      </c>
      <c r="T452" s="139"/>
      <c r="U452" s="139"/>
      <c r="V452" s="139"/>
      <c r="W452" s="139">
        <f>SUM(H452:V452)</f>
        <v>1426</v>
      </c>
      <c r="X452" s="138">
        <f>F452+W452</f>
        <v>3461.5</v>
      </c>
      <c r="Y452" s="138">
        <f>X452*12</f>
        <v>41538</v>
      </c>
    </row>
    <row r="453" spans="1:29" ht="39" customHeight="1">
      <c r="A453" s="42"/>
      <c r="B453" s="42"/>
      <c r="C453" s="106">
        <f>SUM(C451:C452)</f>
        <v>1.5</v>
      </c>
      <c r="D453" s="106"/>
      <c r="E453" s="106"/>
      <c r="F453" s="106">
        <f>SUM(F451:F452)</f>
        <v>6320.5</v>
      </c>
      <c r="G453" s="106"/>
      <c r="H453" s="106">
        <f aca="true" t="shared" si="127" ref="H453:AC453">SUM(H451:H452)</f>
        <v>0</v>
      </c>
      <c r="I453" s="106">
        <f t="shared" si="127"/>
        <v>0</v>
      </c>
      <c r="J453" s="106">
        <f t="shared" si="127"/>
        <v>0</v>
      </c>
      <c r="K453" s="106">
        <f t="shared" si="127"/>
        <v>0</v>
      </c>
      <c r="L453" s="106">
        <f t="shared" si="127"/>
        <v>0</v>
      </c>
      <c r="M453" s="106">
        <f t="shared" si="127"/>
        <v>0</v>
      </c>
      <c r="N453" s="106">
        <f t="shared" si="127"/>
        <v>1897</v>
      </c>
      <c r="O453" s="106">
        <f t="shared" si="127"/>
        <v>0</v>
      </c>
      <c r="P453" s="106">
        <f t="shared" si="127"/>
        <v>0</v>
      </c>
      <c r="Q453" s="106">
        <f t="shared" si="127"/>
        <v>1581</v>
      </c>
      <c r="R453" s="106">
        <f t="shared" si="127"/>
        <v>0</v>
      </c>
      <c r="S453" s="106">
        <f t="shared" si="127"/>
        <v>949</v>
      </c>
      <c r="T453" s="106">
        <f t="shared" si="127"/>
        <v>0</v>
      </c>
      <c r="U453" s="106">
        <f t="shared" si="127"/>
        <v>0</v>
      </c>
      <c r="V453" s="106">
        <f t="shared" si="127"/>
        <v>0</v>
      </c>
      <c r="W453" s="106">
        <f t="shared" si="127"/>
        <v>4427</v>
      </c>
      <c r="X453" s="47">
        <f t="shared" si="127"/>
        <v>10747.5</v>
      </c>
      <c r="Y453" s="47">
        <f t="shared" si="127"/>
        <v>128970</v>
      </c>
      <c r="Z453" s="106">
        <f t="shared" si="127"/>
        <v>0</v>
      </c>
      <c r="AA453" s="106">
        <f t="shared" si="127"/>
        <v>0</v>
      </c>
      <c r="AB453" s="106">
        <f t="shared" si="127"/>
        <v>0</v>
      </c>
      <c r="AC453" s="106">
        <f t="shared" si="127"/>
        <v>0</v>
      </c>
    </row>
    <row r="454" spans="1:25" ht="30" customHeight="1">
      <c r="A454" s="290" t="s">
        <v>61</v>
      </c>
      <c r="B454" s="291"/>
      <c r="C454" s="291"/>
      <c r="D454" s="291"/>
      <c r="E454" s="291"/>
      <c r="F454" s="291"/>
      <c r="G454" s="291"/>
      <c r="H454" s="291"/>
      <c r="I454" s="291"/>
      <c r="J454" s="291"/>
      <c r="K454" s="291"/>
      <c r="L454" s="291"/>
      <c r="M454" s="291"/>
      <c r="N454" s="291"/>
      <c r="O454" s="291"/>
      <c r="P454" s="291"/>
      <c r="Q454" s="291"/>
      <c r="R454" s="291"/>
      <c r="S454" s="291"/>
      <c r="T454" s="291"/>
      <c r="U454" s="291"/>
      <c r="V454" s="291"/>
      <c r="W454" s="291"/>
      <c r="X454" s="291"/>
      <c r="Y454" s="292"/>
    </row>
    <row r="455" spans="1:25" ht="27" customHeight="1">
      <c r="A455" s="290" t="s">
        <v>268</v>
      </c>
      <c r="B455" s="291"/>
      <c r="C455" s="291"/>
      <c r="D455" s="291"/>
      <c r="E455" s="291"/>
      <c r="F455" s="291"/>
      <c r="G455" s="291"/>
      <c r="H455" s="291"/>
      <c r="I455" s="291"/>
      <c r="J455" s="291"/>
      <c r="K455" s="291"/>
      <c r="L455" s="291"/>
      <c r="M455" s="291"/>
      <c r="N455" s="291"/>
      <c r="O455" s="291"/>
      <c r="P455" s="291"/>
      <c r="Q455" s="291"/>
      <c r="R455" s="291"/>
      <c r="S455" s="291"/>
      <c r="T455" s="291"/>
      <c r="U455" s="291"/>
      <c r="V455" s="291"/>
      <c r="W455" s="291"/>
      <c r="X455" s="291"/>
      <c r="Y455" s="292"/>
    </row>
    <row r="456" spans="1:25" ht="30" customHeight="1">
      <c r="A456" s="62">
        <v>1</v>
      </c>
      <c r="B456" s="63" t="s">
        <v>63</v>
      </c>
      <c r="C456" s="62">
        <v>1</v>
      </c>
      <c r="D456" s="62">
        <v>11</v>
      </c>
      <c r="E456" s="62">
        <v>2193</v>
      </c>
      <c r="F456" s="80">
        <f aca="true" t="shared" si="128" ref="F456:F468">E456*C456</f>
        <v>2193</v>
      </c>
      <c r="G456" s="80"/>
      <c r="H456" s="62"/>
      <c r="I456" s="42">
        <f>ROUNDUP(F456*20%,0)</f>
        <v>439</v>
      </c>
      <c r="J456" s="62"/>
      <c r="K456" s="62"/>
      <c r="L456" s="62"/>
      <c r="M456" s="62"/>
      <c r="N456" s="62">
        <f>ROUNDUP(F456*30%,0)</f>
        <v>658</v>
      </c>
      <c r="O456" s="62"/>
      <c r="P456" s="62"/>
      <c r="Q456" s="62"/>
      <c r="R456" s="62"/>
      <c r="S456" s="62">
        <f>ROUNDUP(E456*15%,0)</f>
        <v>329</v>
      </c>
      <c r="T456" s="62">
        <f>ROUNDUP(E456*144%,0)</f>
        <v>3158</v>
      </c>
      <c r="U456" s="62"/>
      <c r="V456" s="62"/>
      <c r="W456" s="40">
        <f aca="true" t="shared" si="129" ref="W456:W470">SUM(H456:V456)</f>
        <v>4584</v>
      </c>
      <c r="X456" s="80">
        <f aca="true" t="shared" si="130" ref="X456:X466">F456+W456</f>
        <v>6777</v>
      </c>
      <c r="Y456" s="80">
        <f aca="true" t="shared" si="131" ref="Y456:Y470">X456*12</f>
        <v>81324</v>
      </c>
    </row>
    <row r="457" spans="1:25" ht="30" customHeight="1">
      <c r="A457" s="62">
        <v>2</v>
      </c>
      <c r="B457" s="63" t="s">
        <v>269</v>
      </c>
      <c r="C457" s="62">
        <f>1+2.5-2.5</f>
        <v>1</v>
      </c>
      <c r="D457" s="62">
        <v>10</v>
      </c>
      <c r="E457" s="62">
        <v>2026</v>
      </c>
      <c r="F457" s="80">
        <f t="shared" si="128"/>
        <v>2026</v>
      </c>
      <c r="G457" s="80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40">
        <f t="shared" si="129"/>
        <v>0</v>
      </c>
      <c r="X457" s="80">
        <f t="shared" si="130"/>
        <v>2026</v>
      </c>
      <c r="Y457" s="80">
        <f t="shared" si="131"/>
        <v>24312</v>
      </c>
    </row>
    <row r="458" spans="1:25" ht="30" customHeight="1">
      <c r="A458" s="62">
        <v>3</v>
      </c>
      <c r="B458" s="63" t="s">
        <v>65</v>
      </c>
      <c r="C458" s="62">
        <f>18-1</f>
        <v>17</v>
      </c>
      <c r="D458" s="62">
        <v>9</v>
      </c>
      <c r="E458" s="62">
        <v>1925</v>
      </c>
      <c r="F458" s="80">
        <f t="shared" si="128"/>
        <v>32725</v>
      </c>
      <c r="G458" s="80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>
        <f>ROUNDUP(E458*504%,0)</f>
        <v>9702</v>
      </c>
      <c r="U458" s="62"/>
      <c r="V458" s="62"/>
      <c r="W458" s="40">
        <f t="shared" si="129"/>
        <v>9702</v>
      </c>
      <c r="X458" s="80">
        <f t="shared" si="130"/>
        <v>42427</v>
      </c>
      <c r="Y458" s="80">
        <f t="shared" si="131"/>
        <v>509124</v>
      </c>
    </row>
    <row r="459" spans="1:25" ht="30" customHeight="1">
      <c r="A459" s="62">
        <v>4</v>
      </c>
      <c r="B459" s="97" t="s">
        <v>66</v>
      </c>
      <c r="C459" s="62">
        <v>5</v>
      </c>
      <c r="D459" s="62">
        <v>8</v>
      </c>
      <c r="E459" s="62">
        <v>1825</v>
      </c>
      <c r="F459" s="80">
        <f t="shared" si="128"/>
        <v>9125</v>
      </c>
      <c r="G459" s="80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>
        <f>ROUNDUP(E459*16%,0)</f>
        <v>292</v>
      </c>
      <c r="U459" s="62"/>
      <c r="V459" s="62"/>
      <c r="W459" s="40">
        <f t="shared" si="129"/>
        <v>292</v>
      </c>
      <c r="X459" s="80">
        <f t="shared" si="130"/>
        <v>9417</v>
      </c>
      <c r="Y459" s="80">
        <f t="shared" si="131"/>
        <v>113004</v>
      </c>
    </row>
    <row r="460" spans="1:25" ht="30" customHeight="1">
      <c r="A460" s="62">
        <v>5</v>
      </c>
      <c r="B460" s="97" t="s">
        <v>67</v>
      </c>
      <c r="C460" s="62">
        <f>9-1+1+1-1-1-1</f>
        <v>7</v>
      </c>
      <c r="D460" s="62">
        <v>7</v>
      </c>
      <c r="E460" s="62">
        <v>1714</v>
      </c>
      <c r="F460" s="80">
        <f t="shared" si="128"/>
        <v>11998</v>
      </c>
      <c r="G460" s="80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>
        <f>ROUNDUP(E460*8%,0)</f>
        <v>138</v>
      </c>
      <c r="U460" s="62"/>
      <c r="V460" s="62"/>
      <c r="W460" s="40">
        <f t="shared" si="129"/>
        <v>138</v>
      </c>
      <c r="X460" s="80">
        <f t="shared" si="130"/>
        <v>12136</v>
      </c>
      <c r="Y460" s="80">
        <f t="shared" si="131"/>
        <v>145632</v>
      </c>
    </row>
    <row r="461" spans="1:25" ht="30" customHeight="1">
      <c r="A461" s="62">
        <v>6</v>
      </c>
      <c r="B461" s="63" t="s">
        <v>70</v>
      </c>
      <c r="C461" s="62">
        <f>2-0.25</f>
        <v>1.75</v>
      </c>
      <c r="D461" s="62">
        <v>11</v>
      </c>
      <c r="E461" s="62">
        <v>2193</v>
      </c>
      <c r="F461" s="80">
        <f t="shared" si="128"/>
        <v>3837.75</v>
      </c>
      <c r="G461" s="80"/>
      <c r="H461" s="62"/>
      <c r="I461" s="42">
        <f>ROUNDUP(F461*20%,0)</f>
        <v>768</v>
      </c>
      <c r="J461" s="62"/>
      <c r="K461" s="62"/>
      <c r="L461" s="62"/>
      <c r="M461" s="62"/>
      <c r="N461" s="62">
        <f>ROUNDUP(F461*30%,0)</f>
        <v>1152</v>
      </c>
      <c r="O461" s="62"/>
      <c r="P461" s="62"/>
      <c r="Q461" s="62"/>
      <c r="R461" s="62"/>
      <c r="S461" s="62"/>
      <c r="T461" s="62">
        <f>ROUNDUP(E461*16%,0)</f>
        <v>351</v>
      </c>
      <c r="U461" s="62"/>
      <c r="V461" s="62"/>
      <c r="W461" s="40">
        <f t="shared" si="129"/>
        <v>2271</v>
      </c>
      <c r="X461" s="80">
        <f t="shared" si="130"/>
        <v>6108.75</v>
      </c>
      <c r="Y461" s="80">
        <f t="shared" si="131"/>
        <v>73305</v>
      </c>
    </row>
    <row r="462" spans="1:25" ht="30" customHeight="1">
      <c r="A462" s="62">
        <v>7</v>
      </c>
      <c r="B462" s="97" t="s">
        <v>71</v>
      </c>
      <c r="C462" s="62">
        <v>1</v>
      </c>
      <c r="D462" s="62">
        <v>6</v>
      </c>
      <c r="E462" s="62">
        <v>1614</v>
      </c>
      <c r="F462" s="80">
        <f t="shared" si="128"/>
        <v>1614</v>
      </c>
      <c r="G462" s="80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>
        <f>ROUNDUP(E462*24%,0)</f>
        <v>388</v>
      </c>
      <c r="U462" s="62"/>
      <c r="V462" s="62"/>
      <c r="W462" s="40">
        <f t="shared" si="129"/>
        <v>388</v>
      </c>
      <c r="X462" s="80">
        <f t="shared" si="130"/>
        <v>2002</v>
      </c>
      <c r="Y462" s="80">
        <f t="shared" si="131"/>
        <v>24024</v>
      </c>
    </row>
    <row r="463" spans="1:25" ht="30" customHeight="1">
      <c r="A463" s="62">
        <v>8</v>
      </c>
      <c r="B463" s="97" t="s">
        <v>270</v>
      </c>
      <c r="C463" s="62">
        <f>17-0.75-1-1+1-0.75-0.25</f>
        <v>14.25</v>
      </c>
      <c r="D463" s="65">
        <v>5</v>
      </c>
      <c r="E463" s="65">
        <v>1514</v>
      </c>
      <c r="F463" s="80">
        <f t="shared" si="128"/>
        <v>21574.5</v>
      </c>
      <c r="G463" s="80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40">
        <f t="shared" si="129"/>
        <v>0</v>
      </c>
      <c r="X463" s="80">
        <f t="shared" si="130"/>
        <v>21574.5</v>
      </c>
      <c r="Y463" s="80">
        <f t="shared" si="131"/>
        <v>258894</v>
      </c>
    </row>
    <row r="464" spans="1:25" ht="19.5" customHeight="1">
      <c r="A464" s="62">
        <v>9</v>
      </c>
      <c r="B464" s="63" t="s">
        <v>73</v>
      </c>
      <c r="C464" s="65">
        <f>10.25+11.25-6.5</f>
        <v>15</v>
      </c>
      <c r="D464" s="65">
        <v>4</v>
      </c>
      <c r="E464" s="65">
        <v>1414</v>
      </c>
      <c r="F464" s="64">
        <f t="shared" si="128"/>
        <v>21210</v>
      </c>
      <c r="G464" s="64"/>
      <c r="H464" s="41"/>
      <c r="I464" s="41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3">
        <f t="shared" si="129"/>
        <v>0</v>
      </c>
      <c r="X464" s="41">
        <f t="shared" si="130"/>
        <v>21210</v>
      </c>
      <c r="Y464" s="80">
        <f t="shared" si="131"/>
        <v>254520</v>
      </c>
    </row>
    <row r="465" spans="1:25" ht="30" customHeight="1">
      <c r="A465" s="62">
        <v>10</v>
      </c>
      <c r="B465" s="97" t="s">
        <v>271</v>
      </c>
      <c r="C465" s="62">
        <f>3+1</f>
        <v>4</v>
      </c>
      <c r="D465" s="62">
        <v>7</v>
      </c>
      <c r="E465" s="62">
        <v>1714</v>
      </c>
      <c r="F465" s="80">
        <f t="shared" si="128"/>
        <v>6856</v>
      </c>
      <c r="G465" s="80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40">
        <f t="shared" si="129"/>
        <v>0</v>
      </c>
      <c r="X465" s="80">
        <f t="shared" si="130"/>
        <v>6856</v>
      </c>
      <c r="Y465" s="80">
        <f t="shared" si="131"/>
        <v>82272</v>
      </c>
    </row>
    <row r="466" spans="1:25" ht="30" customHeight="1">
      <c r="A466" s="62">
        <v>11</v>
      </c>
      <c r="B466" s="97" t="s">
        <v>87</v>
      </c>
      <c r="C466" s="62">
        <v>1</v>
      </c>
      <c r="D466" s="62">
        <v>5</v>
      </c>
      <c r="E466" s="62">
        <v>1514</v>
      </c>
      <c r="F466" s="80">
        <f t="shared" si="128"/>
        <v>1514</v>
      </c>
      <c r="G466" s="80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40">
        <f t="shared" si="129"/>
        <v>0</v>
      </c>
      <c r="X466" s="80">
        <f t="shared" si="130"/>
        <v>1514</v>
      </c>
      <c r="Y466" s="80">
        <f t="shared" si="131"/>
        <v>18168</v>
      </c>
    </row>
    <row r="467" spans="1:25" ht="30" customHeight="1">
      <c r="A467" s="62">
        <v>12</v>
      </c>
      <c r="B467" s="63" t="s">
        <v>272</v>
      </c>
      <c r="C467" s="62">
        <v>2</v>
      </c>
      <c r="D467" s="62">
        <v>3</v>
      </c>
      <c r="E467" s="37">
        <v>1393</v>
      </c>
      <c r="F467" s="80">
        <f t="shared" si="128"/>
        <v>2786</v>
      </c>
      <c r="G467" s="80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>
        <f>ROUNDUP(F467*50%,0)</f>
        <v>1393</v>
      </c>
      <c r="W467" s="62">
        <f t="shared" si="129"/>
        <v>1393</v>
      </c>
      <c r="X467" s="80">
        <f>C467*E467+W467</f>
        <v>4179</v>
      </c>
      <c r="Y467" s="80">
        <f t="shared" si="131"/>
        <v>50148</v>
      </c>
    </row>
    <row r="468" spans="1:25" ht="30" customHeight="1">
      <c r="A468" s="62">
        <v>13</v>
      </c>
      <c r="B468" s="63" t="s">
        <v>272</v>
      </c>
      <c r="C468" s="62">
        <v>4</v>
      </c>
      <c r="D468" s="62">
        <v>2</v>
      </c>
      <c r="E468" s="37">
        <v>1383</v>
      </c>
      <c r="F468" s="80">
        <f t="shared" si="128"/>
        <v>5532</v>
      </c>
      <c r="G468" s="80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>
        <f>ROUNDUP(F468*50%,0)</f>
        <v>2766</v>
      </c>
      <c r="W468" s="62">
        <f t="shared" si="129"/>
        <v>2766</v>
      </c>
      <c r="X468" s="80">
        <f>C468*E468+W468</f>
        <v>8298</v>
      </c>
      <c r="Y468" s="80">
        <f t="shared" si="131"/>
        <v>99576</v>
      </c>
    </row>
    <row r="469" spans="1:25" ht="30" customHeight="1">
      <c r="A469" s="62"/>
      <c r="B469" s="63" t="s">
        <v>273</v>
      </c>
      <c r="C469" s="62"/>
      <c r="D469" s="62"/>
      <c r="E469" s="62"/>
      <c r="F469" s="62"/>
      <c r="G469" s="62"/>
      <c r="H469" s="62"/>
      <c r="I469" s="62"/>
      <c r="J469" s="80"/>
      <c r="K469" s="62"/>
      <c r="L469" s="62"/>
      <c r="M469" s="62"/>
      <c r="N469" s="62"/>
      <c r="O469" s="62"/>
      <c r="P469" s="62"/>
      <c r="Q469" s="62"/>
      <c r="R469" s="62"/>
      <c r="S469" s="62"/>
      <c r="T469" s="62">
        <v>9588</v>
      </c>
      <c r="U469" s="62"/>
      <c r="V469" s="62"/>
      <c r="W469" s="40">
        <f t="shared" si="129"/>
        <v>9588</v>
      </c>
      <c r="X469" s="80">
        <f>F469+W469</f>
        <v>9588</v>
      </c>
      <c r="Y469" s="80">
        <f t="shared" si="131"/>
        <v>115056</v>
      </c>
    </row>
    <row r="470" spans="1:25" ht="30" customHeight="1">
      <c r="A470" s="62"/>
      <c r="B470" s="108" t="s">
        <v>274</v>
      </c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>
        <v>1178</v>
      </c>
      <c r="U470" s="62"/>
      <c r="V470" s="62"/>
      <c r="W470" s="40">
        <f t="shared" si="129"/>
        <v>1178</v>
      </c>
      <c r="X470" s="80">
        <f>F470+W470</f>
        <v>1178</v>
      </c>
      <c r="Y470" s="80">
        <f t="shared" si="131"/>
        <v>14136</v>
      </c>
    </row>
    <row r="471" spans="1:29" ht="30" customHeight="1">
      <c r="A471" s="62"/>
      <c r="B471" s="45" t="s">
        <v>275</v>
      </c>
      <c r="C471" s="74">
        <f>SUM(C456:C470)</f>
        <v>74</v>
      </c>
      <c r="D471" s="74"/>
      <c r="E471" s="74"/>
      <c r="F471" s="74">
        <f>SUM(F456:F470)</f>
        <v>122991.25</v>
      </c>
      <c r="G471" s="74"/>
      <c r="H471" s="74">
        <f aca="true" t="shared" si="132" ref="H471:AC471">SUM(H456:H470)</f>
        <v>0</v>
      </c>
      <c r="I471" s="74">
        <f t="shared" si="132"/>
        <v>1207</v>
      </c>
      <c r="J471" s="74">
        <f t="shared" si="132"/>
        <v>0</v>
      </c>
      <c r="K471" s="74">
        <f t="shared" si="132"/>
        <v>0</v>
      </c>
      <c r="L471" s="74">
        <f t="shared" si="132"/>
        <v>0</v>
      </c>
      <c r="M471" s="74">
        <f t="shared" si="132"/>
        <v>0</v>
      </c>
      <c r="N471" s="74">
        <f t="shared" si="132"/>
        <v>1810</v>
      </c>
      <c r="O471" s="74">
        <f t="shared" si="132"/>
        <v>0</v>
      </c>
      <c r="P471" s="74">
        <f t="shared" si="132"/>
        <v>0</v>
      </c>
      <c r="Q471" s="74">
        <f t="shared" si="132"/>
        <v>0</v>
      </c>
      <c r="R471" s="74">
        <f t="shared" si="132"/>
        <v>0</v>
      </c>
      <c r="S471" s="74">
        <f t="shared" si="132"/>
        <v>329</v>
      </c>
      <c r="T471" s="74">
        <f t="shared" si="132"/>
        <v>24795</v>
      </c>
      <c r="U471" s="74">
        <f t="shared" si="132"/>
        <v>0</v>
      </c>
      <c r="V471" s="74">
        <f t="shared" si="132"/>
        <v>4159</v>
      </c>
      <c r="W471" s="74">
        <f t="shared" si="132"/>
        <v>32300</v>
      </c>
      <c r="X471" s="70">
        <f t="shared" si="132"/>
        <v>155291.25</v>
      </c>
      <c r="Y471" s="70">
        <f t="shared" si="132"/>
        <v>1863495</v>
      </c>
      <c r="Z471" s="74">
        <f t="shared" si="132"/>
        <v>0</v>
      </c>
      <c r="AA471" s="74">
        <f t="shared" si="132"/>
        <v>0</v>
      </c>
      <c r="AB471" s="74">
        <f t="shared" si="132"/>
        <v>0</v>
      </c>
      <c r="AC471" s="74">
        <f t="shared" si="132"/>
        <v>0</v>
      </c>
    </row>
    <row r="472" spans="1:25" ht="30" customHeight="1">
      <c r="A472" s="287" t="s">
        <v>75</v>
      </c>
      <c r="B472" s="288"/>
      <c r="C472" s="288"/>
      <c r="D472" s="288"/>
      <c r="E472" s="288"/>
      <c r="F472" s="288"/>
      <c r="G472" s="288"/>
      <c r="H472" s="288"/>
      <c r="I472" s="288"/>
      <c r="J472" s="288"/>
      <c r="K472" s="288"/>
      <c r="L472" s="288"/>
      <c r="M472" s="288"/>
      <c r="N472" s="288"/>
      <c r="O472" s="288"/>
      <c r="P472" s="288"/>
      <c r="Q472" s="288"/>
      <c r="R472" s="288"/>
      <c r="S472" s="288"/>
      <c r="T472" s="288"/>
      <c r="U472" s="288"/>
      <c r="V472" s="288"/>
      <c r="W472" s="288"/>
      <c r="X472" s="288"/>
      <c r="Y472" s="289"/>
    </row>
    <row r="473" spans="1:25" ht="30" customHeight="1">
      <c r="A473" s="62">
        <v>1</v>
      </c>
      <c r="B473" s="63" t="s">
        <v>276</v>
      </c>
      <c r="C473" s="62">
        <v>1</v>
      </c>
      <c r="D473" s="62">
        <v>9</v>
      </c>
      <c r="E473" s="62">
        <v>1925</v>
      </c>
      <c r="F473" s="80">
        <f>E473*C473</f>
        <v>1925</v>
      </c>
      <c r="G473" s="80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40">
        <f>SUM(H473:V473)</f>
        <v>0</v>
      </c>
      <c r="X473" s="80">
        <f>F473+W473</f>
        <v>1925</v>
      </c>
      <c r="Y473" s="80">
        <f>X473*12</f>
        <v>23100</v>
      </c>
    </row>
    <row r="474" spans="1:25" ht="30" customHeight="1">
      <c r="A474" s="62">
        <v>2</v>
      </c>
      <c r="B474" s="63" t="s">
        <v>65</v>
      </c>
      <c r="C474" s="62">
        <v>1</v>
      </c>
      <c r="D474" s="62">
        <v>9</v>
      </c>
      <c r="E474" s="62">
        <v>1925</v>
      </c>
      <c r="F474" s="80">
        <f>E474*C474</f>
        <v>1925</v>
      </c>
      <c r="G474" s="80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40">
        <f>SUM(H474:V474)</f>
        <v>0</v>
      </c>
      <c r="X474" s="80">
        <f>F474+W474</f>
        <v>1925</v>
      </c>
      <c r="Y474" s="80">
        <f>X474*12</f>
        <v>23100</v>
      </c>
    </row>
    <row r="475" spans="1:25" ht="30" customHeight="1">
      <c r="A475" s="62">
        <v>3</v>
      </c>
      <c r="B475" s="97" t="s">
        <v>67</v>
      </c>
      <c r="C475" s="62">
        <v>1</v>
      </c>
      <c r="D475" s="62">
        <v>7</v>
      </c>
      <c r="E475" s="62">
        <v>1714</v>
      </c>
      <c r="F475" s="80">
        <f>E475*C475</f>
        <v>1714</v>
      </c>
      <c r="G475" s="80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>
        <f>ROUNDUP(E475*8%,0)</f>
        <v>138</v>
      </c>
      <c r="U475" s="62"/>
      <c r="V475" s="62"/>
      <c r="W475" s="40">
        <f>SUM(H475:V475)</f>
        <v>138</v>
      </c>
      <c r="X475" s="80">
        <f>F475+W475</f>
        <v>1852</v>
      </c>
      <c r="Y475" s="80">
        <f>X475*12</f>
        <v>22224</v>
      </c>
    </row>
    <row r="476" spans="1:25" ht="30" customHeight="1">
      <c r="A476" s="62">
        <v>4</v>
      </c>
      <c r="B476" s="63" t="s">
        <v>277</v>
      </c>
      <c r="C476" s="62">
        <v>2</v>
      </c>
      <c r="D476" s="62">
        <v>4</v>
      </c>
      <c r="E476" s="62">
        <v>1414</v>
      </c>
      <c r="F476" s="80">
        <f>E476*C476</f>
        <v>2828</v>
      </c>
      <c r="G476" s="80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40">
        <f>SUM(H476:V476)</f>
        <v>0</v>
      </c>
      <c r="X476" s="80">
        <f>F476+W476</f>
        <v>2828</v>
      </c>
      <c r="Y476" s="80">
        <f>X476*12</f>
        <v>33936</v>
      </c>
    </row>
    <row r="477" spans="1:25" ht="30" customHeight="1">
      <c r="A477" s="67"/>
      <c r="B477" s="45" t="s">
        <v>278</v>
      </c>
      <c r="C477" s="83">
        <f>SUM(C473:C476)</f>
        <v>5</v>
      </c>
      <c r="D477" s="83"/>
      <c r="E477" s="83"/>
      <c r="F477" s="84">
        <f>SUM(F473:F476)</f>
        <v>8392</v>
      </c>
      <c r="G477" s="84"/>
      <c r="H477" s="91">
        <f aca="true" t="shared" si="133" ref="H477:Y477">SUM(H473:H476)</f>
        <v>0</v>
      </c>
      <c r="I477" s="91">
        <f t="shared" si="133"/>
        <v>0</v>
      </c>
      <c r="J477" s="91">
        <f t="shared" si="133"/>
        <v>0</v>
      </c>
      <c r="K477" s="91">
        <f t="shared" si="133"/>
        <v>0</v>
      </c>
      <c r="L477" s="91">
        <f t="shared" si="133"/>
        <v>0</v>
      </c>
      <c r="M477" s="91">
        <f t="shared" si="133"/>
        <v>0</v>
      </c>
      <c r="N477" s="91">
        <f t="shared" si="133"/>
        <v>0</v>
      </c>
      <c r="O477" s="91">
        <f t="shared" si="133"/>
        <v>0</v>
      </c>
      <c r="P477" s="91">
        <f t="shared" si="133"/>
        <v>0</v>
      </c>
      <c r="Q477" s="91">
        <f t="shared" si="133"/>
        <v>0</v>
      </c>
      <c r="R477" s="91">
        <f t="shared" si="133"/>
        <v>0</v>
      </c>
      <c r="S477" s="91">
        <f t="shared" si="133"/>
        <v>0</v>
      </c>
      <c r="T477" s="91">
        <f t="shared" si="133"/>
        <v>138</v>
      </c>
      <c r="U477" s="91">
        <f t="shared" si="133"/>
        <v>0</v>
      </c>
      <c r="V477" s="91">
        <f t="shared" si="133"/>
        <v>0</v>
      </c>
      <c r="W477" s="84">
        <f t="shared" si="133"/>
        <v>138</v>
      </c>
      <c r="X477" s="84">
        <f t="shared" si="133"/>
        <v>8530</v>
      </c>
      <c r="Y477" s="84">
        <f t="shared" si="133"/>
        <v>102360</v>
      </c>
    </row>
    <row r="478" spans="1:25" ht="21.75" customHeight="1">
      <c r="A478" s="290" t="s">
        <v>80</v>
      </c>
      <c r="B478" s="291"/>
      <c r="C478" s="291"/>
      <c r="D478" s="291"/>
      <c r="E478" s="291"/>
      <c r="F478" s="291"/>
      <c r="G478" s="291"/>
      <c r="H478" s="291"/>
      <c r="I478" s="291"/>
      <c r="J478" s="291"/>
      <c r="K478" s="291"/>
      <c r="L478" s="291"/>
      <c r="M478" s="291"/>
      <c r="N478" s="291"/>
      <c r="O478" s="291"/>
      <c r="P478" s="291"/>
      <c r="Q478" s="291"/>
      <c r="R478" s="291"/>
      <c r="S478" s="291"/>
      <c r="T478" s="291"/>
      <c r="U478" s="291"/>
      <c r="V478" s="291"/>
      <c r="W478" s="291"/>
      <c r="X478" s="291"/>
      <c r="Y478" s="292"/>
    </row>
    <row r="479" spans="1:25" ht="21.75" customHeight="1">
      <c r="A479" s="37">
        <v>1</v>
      </c>
      <c r="B479" s="38" t="s">
        <v>279</v>
      </c>
      <c r="C479" s="127">
        <v>1</v>
      </c>
      <c r="D479" s="127">
        <v>24</v>
      </c>
      <c r="E479" s="127">
        <v>4853</v>
      </c>
      <c r="F479" s="80">
        <f>E479</f>
        <v>4853</v>
      </c>
      <c r="G479" s="80"/>
      <c r="H479" s="62"/>
      <c r="I479" s="62"/>
      <c r="J479" s="62"/>
      <c r="K479" s="62">
        <f>ROUNDUP(E479*20%,0)</f>
        <v>971</v>
      </c>
      <c r="L479" s="62"/>
      <c r="M479" s="62"/>
      <c r="N479" s="62"/>
      <c r="O479" s="62"/>
      <c r="P479" s="62"/>
      <c r="Q479" s="62"/>
      <c r="R479" s="62">
        <f>ROUNDUP(F479*20%,0)</f>
        <v>971</v>
      </c>
      <c r="S479" s="127"/>
      <c r="T479" s="127"/>
      <c r="U479" s="127"/>
      <c r="V479" s="127"/>
      <c r="W479" s="80">
        <f>SUM(H479:V479)</f>
        <v>1942</v>
      </c>
      <c r="X479" s="80">
        <f>F479+W479</f>
        <v>6795</v>
      </c>
      <c r="Y479" s="80">
        <f>X479*12</f>
        <v>81540</v>
      </c>
    </row>
    <row r="480" spans="1:25" ht="21.75" customHeight="1">
      <c r="A480" s="37">
        <v>2</v>
      </c>
      <c r="B480" s="38" t="s">
        <v>280</v>
      </c>
      <c r="C480" s="62">
        <v>1</v>
      </c>
      <c r="D480" s="62"/>
      <c r="E480" s="62">
        <v>3397</v>
      </c>
      <c r="F480" s="76">
        <f>E480*C480</f>
        <v>3397</v>
      </c>
      <c r="G480" s="76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>
        <f>SUM(J480:V480)</f>
        <v>0</v>
      </c>
      <c r="X480" s="80">
        <f>C480*E480+W480</f>
        <v>3397</v>
      </c>
      <c r="Y480" s="80">
        <f>X480*12</f>
        <v>40764</v>
      </c>
    </row>
    <row r="481" spans="1:25" ht="19.5" customHeight="1">
      <c r="A481" s="37"/>
      <c r="B481" s="38"/>
      <c r="C481" s="83">
        <f>SUM(C479:C480)</f>
        <v>2</v>
      </c>
      <c r="D481" s="83"/>
      <c r="E481" s="62"/>
      <c r="F481" s="70">
        <f>SUM(F479:F480)</f>
        <v>8250</v>
      </c>
      <c r="G481" s="70"/>
      <c r="H481" s="71">
        <f aca="true" t="shared" si="134" ref="H481:Y481">SUM(H479:H480)</f>
        <v>0</v>
      </c>
      <c r="I481" s="71">
        <f t="shared" si="134"/>
        <v>0</v>
      </c>
      <c r="J481" s="71">
        <f t="shared" si="134"/>
        <v>0</v>
      </c>
      <c r="K481" s="71">
        <f t="shared" si="134"/>
        <v>971</v>
      </c>
      <c r="L481" s="71">
        <f t="shared" si="134"/>
        <v>0</v>
      </c>
      <c r="M481" s="71">
        <f t="shared" si="134"/>
        <v>0</v>
      </c>
      <c r="N481" s="71">
        <f t="shared" si="134"/>
        <v>0</v>
      </c>
      <c r="O481" s="71">
        <f t="shared" si="134"/>
        <v>0</v>
      </c>
      <c r="P481" s="71">
        <f t="shared" si="134"/>
        <v>0</v>
      </c>
      <c r="Q481" s="71">
        <f t="shared" si="134"/>
        <v>0</v>
      </c>
      <c r="R481" s="71">
        <f t="shared" si="134"/>
        <v>971</v>
      </c>
      <c r="S481" s="71">
        <f t="shared" si="134"/>
        <v>0</v>
      </c>
      <c r="T481" s="71">
        <f t="shared" si="134"/>
        <v>0</v>
      </c>
      <c r="U481" s="71">
        <f t="shared" si="134"/>
        <v>0</v>
      </c>
      <c r="V481" s="71">
        <f t="shared" si="134"/>
        <v>0</v>
      </c>
      <c r="W481" s="70">
        <f t="shared" si="134"/>
        <v>1942</v>
      </c>
      <c r="X481" s="70">
        <f t="shared" si="134"/>
        <v>10192</v>
      </c>
      <c r="Y481" s="70">
        <f t="shared" si="134"/>
        <v>122304</v>
      </c>
    </row>
    <row r="482" spans="1:25" ht="17.25" customHeight="1">
      <c r="A482" s="290" t="s">
        <v>281</v>
      </c>
      <c r="B482" s="291"/>
      <c r="C482" s="291"/>
      <c r="D482" s="291"/>
      <c r="E482" s="291"/>
      <c r="F482" s="291"/>
      <c r="G482" s="291"/>
      <c r="H482" s="291"/>
      <c r="I482" s="291"/>
      <c r="J482" s="291"/>
      <c r="K482" s="291"/>
      <c r="L482" s="291"/>
      <c r="M482" s="291"/>
      <c r="N482" s="291"/>
      <c r="O482" s="291"/>
      <c r="P482" s="291"/>
      <c r="Q482" s="291"/>
      <c r="R482" s="291"/>
      <c r="S482" s="291"/>
      <c r="T482" s="291"/>
      <c r="U482" s="291"/>
      <c r="V482" s="291"/>
      <c r="W482" s="291"/>
      <c r="X482" s="291"/>
      <c r="Y482" s="292"/>
    </row>
    <row r="483" spans="1:25" ht="24.75" customHeight="1">
      <c r="A483" s="37">
        <v>1</v>
      </c>
      <c r="B483" s="38" t="s">
        <v>282</v>
      </c>
      <c r="C483" s="62">
        <v>1</v>
      </c>
      <c r="D483" s="62">
        <v>7</v>
      </c>
      <c r="E483" s="62">
        <v>1714</v>
      </c>
      <c r="F483" s="80">
        <f aca="true" t="shared" si="135" ref="F483:F498">E483*C483</f>
        <v>1714</v>
      </c>
      <c r="G483" s="80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>
        <f aca="true" t="shared" si="136" ref="W483:W498">SUM(H483:V483)</f>
        <v>0</v>
      </c>
      <c r="X483" s="80">
        <f aca="true" t="shared" si="137" ref="X483:X498">C483*E483+W483</f>
        <v>1714</v>
      </c>
      <c r="Y483" s="80">
        <f aca="true" t="shared" si="138" ref="Y483:Y498">X483*12</f>
        <v>20568</v>
      </c>
    </row>
    <row r="484" spans="1:25" ht="20.25" customHeight="1">
      <c r="A484" s="37">
        <v>2</v>
      </c>
      <c r="B484" s="38" t="s">
        <v>283</v>
      </c>
      <c r="C484" s="62">
        <v>1</v>
      </c>
      <c r="D484" s="62">
        <v>7</v>
      </c>
      <c r="E484" s="62">
        <v>1714</v>
      </c>
      <c r="F484" s="80">
        <f t="shared" si="135"/>
        <v>1714</v>
      </c>
      <c r="G484" s="80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>
        <f t="shared" si="136"/>
        <v>0</v>
      </c>
      <c r="X484" s="80">
        <f t="shared" si="137"/>
        <v>1714</v>
      </c>
      <c r="Y484" s="80">
        <f t="shared" si="138"/>
        <v>20568</v>
      </c>
    </row>
    <row r="485" spans="1:25" ht="43.5" customHeight="1">
      <c r="A485" s="37">
        <v>3</v>
      </c>
      <c r="B485" s="44" t="s">
        <v>284</v>
      </c>
      <c r="C485" s="62">
        <v>1</v>
      </c>
      <c r="D485" s="62">
        <v>10</v>
      </c>
      <c r="E485" s="62">
        <v>2026</v>
      </c>
      <c r="F485" s="80">
        <f t="shared" si="135"/>
        <v>2026</v>
      </c>
      <c r="G485" s="80"/>
      <c r="H485" s="62"/>
      <c r="I485" s="62"/>
      <c r="J485" s="62"/>
      <c r="K485" s="62"/>
      <c r="L485" s="62"/>
      <c r="M485" s="62"/>
      <c r="N485" s="62">
        <f>ROUNDUP(F485*30%,0)</f>
        <v>608</v>
      </c>
      <c r="O485" s="62"/>
      <c r="P485" s="62"/>
      <c r="Q485" s="62"/>
      <c r="R485" s="62"/>
      <c r="S485" s="62"/>
      <c r="T485" s="62"/>
      <c r="U485" s="62"/>
      <c r="V485" s="62"/>
      <c r="W485" s="62">
        <f t="shared" si="136"/>
        <v>608</v>
      </c>
      <c r="X485" s="80">
        <f t="shared" si="137"/>
        <v>2634</v>
      </c>
      <c r="Y485" s="80">
        <f t="shared" si="138"/>
        <v>31608</v>
      </c>
    </row>
    <row r="486" spans="1:25" ht="24.75" customHeight="1">
      <c r="A486" s="37">
        <v>4</v>
      </c>
      <c r="B486" s="38" t="s">
        <v>285</v>
      </c>
      <c r="C486" s="62">
        <v>2</v>
      </c>
      <c r="D486" s="62">
        <v>6</v>
      </c>
      <c r="E486" s="62">
        <v>1614</v>
      </c>
      <c r="F486" s="80">
        <f t="shared" si="135"/>
        <v>3228</v>
      </c>
      <c r="G486" s="80"/>
      <c r="H486" s="62"/>
      <c r="I486" s="62"/>
      <c r="J486" s="62"/>
      <c r="K486" s="62"/>
      <c r="L486" s="62"/>
      <c r="M486" s="62"/>
      <c r="N486" s="62">
        <f>ROUNDUP(F486*30%,0)</f>
        <v>969</v>
      </c>
      <c r="O486" s="62"/>
      <c r="P486" s="62"/>
      <c r="Q486" s="62"/>
      <c r="R486" s="62"/>
      <c r="S486" s="62"/>
      <c r="T486" s="62"/>
      <c r="U486" s="62"/>
      <c r="V486" s="62"/>
      <c r="W486" s="62">
        <f t="shared" si="136"/>
        <v>969</v>
      </c>
      <c r="X486" s="80">
        <f t="shared" si="137"/>
        <v>4197</v>
      </c>
      <c r="Y486" s="80">
        <f t="shared" si="138"/>
        <v>50364</v>
      </c>
    </row>
    <row r="487" spans="1:25" ht="24.75" customHeight="1">
      <c r="A487" s="37">
        <v>5</v>
      </c>
      <c r="B487" s="63" t="s">
        <v>69</v>
      </c>
      <c r="C487" s="62">
        <v>1</v>
      </c>
      <c r="D487" s="62">
        <v>6</v>
      </c>
      <c r="E487" s="62">
        <v>1467</v>
      </c>
      <c r="F487" s="80">
        <f t="shared" si="135"/>
        <v>1467</v>
      </c>
      <c r="G487" s="80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>
        <f t="shared" si="136"/>
        <v>0</v>
      </c>
      <c r="X487" s="80">
        <f t="shared" si="137"/>
        <v>1467</v>
      </c>
      <c r="Y487" s="80">
        <f t="shared" si="138"/>
        <v>17604</v>
      </c>
    </row>
    <row r="488" spans="1:25" ht="24.75" customHeight="1">
      <c r="A488" s="37">
        <v>7</v>
      </c>
      <c r="B488" s="38" t="s">
        <v>286</v>
      </c>
      <c r="C488" s="62">
        <v>1</v>
      </c>
      <c r="D488" s="62">
        <v>9</v>
      </c>
      <c r="E488" s="62">
        <v>1925</v>
      </c>
      <c r="F488" s="80">
        <f t="shared" si="135"/>
        <v>1925</v>
      </c>
      <c r="G488" s="80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>
        <f t="shared" si="136"/>
        <v>0</v>
      </c>
      <c r="X488" s="80">
        <f t="shared" si="137"/>
        <v>1925</v>
      </c>
      <c r="Y488" s="80">
        <f t="shared" si="138"/>
        <v>23100</v>
      </c>
    </row>
    <row r="489" spans="1:25" ht="24.75" customHeight="1">
      <c r="A489" s="37">
        <v>8</v>
      </c>
      <c r="B489" s="63" t="s">
        <v>287</v>
      </c>
      <c r="C489" s="65">
        <v>3</v>
      </c>
      <c r="D489" s="65">
        <v>5</v>
      </c>
      <c r="E489" s="40">
        <v>1514</v>
      </c>
      <c r="F489" s="41">
        <f t="shared" si="135"/>
        <v>4542</v>
      </c>
      <c r="G489" s="41"/>
      <c r="H489" s="43"/>
      <c r="I489" s="43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3">
        <f t="shared" si="136"/>
        <v>0</v>
      </c>
      <c r="X489" s="41">
        <f t="shared" si="137"/>
        <v>4542</v>
      </c>
      <c r="Y489" s="80">
        <f t="shared" si="138"/>
        <v>54504</v>
      </c>
    </row>
    <row r="490" spans="1:25" ht="24.75" customHeight="1">
      <c r="A490" s="37">
        <v>9</v>
      </c>
      <c r="B490" s="108" t="s">
        <v>213</v>
      </c>
      <c r="C490" s="65">
        <f>24-2</f>
        <v>22</v>
      </c>
      <c r="D490" s="94">
        <v>3</v>
      </c>
      <c r="E490" s="40">
        <v>1393</v>
      </c>
      <c r="F490" s="41">
        <f t="shared" si="135"/>
        <v>30646</v>
      </c>
      <c r="G490" s="41"/>
      <c r="H490" s="43"/>
      <c r="I490" s="43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3">
        <f t="shared" si="136"/>
        <v>0</v>
      </c>
      <c r="X490" s="41">
        <f t="shared" si="137"/>
        <v>30646</v>
      </c>
      <c r="Y490" s="80">
        <f t="shared" si="138"/>
        <v>367752</v>
      </c>
    </row>
    <row r="491" spans="1:25" ht="24.75" customHeight="1">
      <c r="A491" s="37">
        <v>10</v>
      </c>
      <c r="B491" s="63" t="s">
        <v>288</v>
      </c>
      <c r="C491" s="65">
        <v>3</v>
      </c>
      <c r="D491" s="65">
        <v>3</v>
      </c>
      <c r="E491" s="40">
        <v>1393</v>
      </c>
      <c r="F491" s="41">
        <f t="shared" si="135"/>
        <v>4179</v>
      </c>
      <c r="G491" s="41"/>
      <c r="H491" s="43"/>
      <c r="I491" s="43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3">
        <f t="shared" si="136"/>
        <v>0</v>
      </c>
      <c r="X491" s="41">
        <f t="shared" si="137"/>
        <v>4179</v>
      </c>
      <c r="Y491" s="80">
        <f t="shared" si="138"/>
        <v>50148</v>
      </c>
    </row>
    <row r="492" spans="1:25" ht="20.25" customHeight="1">
      <c r="A492" s="37">
        <v>11</v>
      </c>
      <c r="B492" s="38" t="s">
        <v>289</v>
      </c>
      <c r="C492" s="62">
        <v>1</v>
      </c>
      <c r="D492" s="62">
        <v>2</v>
      </c>
      <c r="E492" s="40">
        <v>1383</v>
      </c>
      <c r="F492" s="80">
        <f t="shared" si="135"/>
        <v>1383</v>
      </c>
      <c r="G492" s="80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>
        <f t="shared" si="136"/>
        <v>0</v>
      </c>
      <c r="X492" s="80">
        <f t="shared" si="137"/>
        <v>1383</v>
      </c>
      <c r="Y492" s="80">
        <f t="shared" si="138"/>
        <v>16596</v>
      </c>
    </row>
    <row r="493" spans="1:25" ht="21" customHeight="1">
      <c r="A493" s="37">
        <v>12</v>
      </c>
      <c r="B493" s="38" t="s">
        <v>290</v>
      </c>
      <c r="C493" s="62">
        <v>3</v>
      </c>
      <c r="D493" s="62">
        <v>2</v>
      </c>
      <c r="E493" s="40">
        <v>1383</v>
      </c>
      <c r="F493" s="80">
        <f t="shared" si="135"/>
        <v>4149</v>
      </c>
      <c r="G493" s="80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>
        <f t="shared" si="136"/>
        <v>0</v>
      </c>
      <c r="X493" s="80">
        <f t="shared" si="137"/>
        <v>4149</v>
      </c>
      <c r="Y493" s="80">
        <f t="shared" si="138"/>
        <v>49788</v>
      </c>
    </row>
    <row r="494" spans="1:25" ht="19.5" customHeight="1">
      <c r="A494" s="37">
        <v>13</v>
      </c>
      <c r="B494" s="38" t="s">
        <v>291</v>
      </c>
      <c r="C494" s="62">
        <v>1</v>
      </c>
      <c r="D494" s="62">
        <v>2</v>
      </c>
      <c r="E494" s="40">
        <v>1383</v>
      </c>
      <c r="F494" s="80">
        <f t="shared" si="135"/>
        <v>1383</v>
      </c>
      <c r="G494" s="80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>
        <f>ROUNDUP(F494*10%,0)</f>
        <v>139</v>
      </c>
      <c r="U494" s="62"/>
      <c r="V494" s="62"/>
      <c r="W494" s="62">
        <f t="shared" si="136"/>
        <v>139</v>
      </c>
      <c r="X494" s="80">
        <f t="shared" si="137"/>
        <v>1522</v>
      </c>
      <c r="Y494" s="80">
        <f t="shared" si="138"/>
        <v>18264</v>
      </c>
    </row>
    <row r="495" spans="1:25" ht="19.5" customHeight="1">
      <c r="A495" s="37">
        <v>14</v>
      </c>
      <c r="B495" s="63" t="s">
        <v>138</v>
      </c>
      <c r="C495" s="65">
        <v>2</v>
      </c>
      <c r="D495" s="65">
        <v>1</v>
      </c>
      <c r="E495" s="40">
        <v>1378</v>
      </c>
      <c r="F495" s="41">
        <f t="shared" si="135"/>
        <v>2756</v>
      </c>
      <c r="G495" s="41"/>
      <c r="H495" s="43"/>
      <c r="I495" s="43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3">
        <f t="shared" si="136"/>
        <v>0</v>
      </c>
      <c r="X495" s="41">
        <f t="shared" si="137"/>
        <v>2756</v>
      </c>
      <c r="Y495" s="80">
        <f t="shared" si="138"/>
        <v>33072</v>
      </c>
    </row>
    <row r="496" spans="1:25" ht="20.25" customHeight="1">
      <c r="A496" s="37">
        <v>15</v>
      </c>
      <c r="B496" s="63" t="s">
        <v>139</v>
      </c>
      <c r="C496" s="62">
        <v>1</v>
      </c>
      <c r="D496" s="62">
        <v>1</v>
      </c>
      <c r="E496" s="40">
        <v>1378</v>
      </c>
      <c r="F496" s="80">
        <f t="shared" si="135"/>
        <v>1378</v>
      </c>
      <c r="G496" s="80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>
        <f t="shared" si="136"/>
        <v>0</v>
      </c>
      <c r="X496" s="80">
        <f t="shared" si="137"/>
        <v>1378</v>
      </c>
      <c r="Y496" s="80">
        <f t="shared" si="138"/>
        <v>16536</v>
      </c>
    </row>
    <row r="497" spans="1:25" ht="21" customHeight="1">
      <c r="A497" s="37">
        <v>16</v>
      </c>
      <c r="B497" s="38" t="s">
        <v>292</v>
      </c>
      <c r="C497" s="62">
        <v>1</v>
      </c>
      <c r="D497" s="62">
        <v>3</v>
      </c>
      <c r="E497" s="40">
        <v>1393</v>
      </c>
      <c r="F497" s="80">
        <f t="shared" si="135"/>
        <v>1393</v>
      </c>
      <c r="G497" s="80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>
        <f t="shared" si="136"/>
        <v>0</v>
      </c>
      <c r="X497" s="80">
        <f t="shared" si="137"/>
        <v>1393</v>
      </c>
      <c r="Y497" s="80">
        <f t="shared" si="138"/>
        <v>16716</v>
      </c>
    </row>
    <row r="498" spans="1:25" ht="24.75" customHeight="1">
      <c r="A498" s="37">
        <v>17</v>
      </c>
      <c r="B498" s="38" t="s">
        <v>293</v>
      </c>
      <c r="C498" s="62">
        <v>1</v>
      </c>
      <c r="D498" s="37">
        <v>5</v>
      </c>
      <c r="E498" s="40">
        <v>1514</v>
      </c>
      <c r="F498" s="80">
        <f t="shared" si="135"/>
        <v>1514</v>
      </c>
      <c r="G498" s="80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>
        <f t="shared" si="136"/>
        <v>0</v>
      </c>
      <c r="X498" s="80">
        <f t="shared" si="137"/>
        <v>1514</v>
      </c>
      <c r="Y498" s="80">
        <f t="shared" si="138"/>
        <v>18168</v>
      </c>
    </row>
    <row r="499" spans="1:25" ht="18" customHeight="1">
      <c r="A499" s="37"/>
      <c r="B499" s="38"/>
      <c r="C499" s="83">
        <f>SUM(C483:C498)</f>
        <v>45</v>
      </c>
      <c r="D499" s="83"/>
      <c r="E499" s="62"/>
      <c r="F499" s="70">
        <f>SUM(F483:F498)</f>
        <v>65397</v>
      </c>
      <c r="G499" s="70"/>
      <c r="H499" s="62">
        <f aca="true" t="shared" si="139" ref="H499:Y499">SUM(H483:H498)</f>
        <v>0</v>
      </c>
      <c r="I499" s="62">
        <f t="shared" si="139"/>
        <v>0</v>
      </c>
      <c r="J499" s="62">
        <f t="shared" si="139"/>
        <v>0</v>
      </c>
      <c r="K499" s="62">
        <f t="shared" si="139"/>
        <v>0</v>
      </c>
      <c r="L499" s="62">
        <f t="shared" si="139"/>
        <v>0</v>
      </c>
      <c r="M499" s="62">
        <f t="shared" si="139"/>
        <v>0</v>
      </c>
      <c r="N499" s="62">
        <f t="shared" si="139"/>
        <v>1577</v>
      </c>
      <c r="O499" s="62">
        <f t="shared" si="139"/>
        <v>0</v>
      </c>
      <c r="P499" s="62">
        <f t="shared" si="139"/>
        <v>0</v>
      </c>
      <c r="Q499" s="62">
        <f t="shared" si="139"/>
        <v>0</v>
      </c>
      <c r="R499" s="62">
        <f t="shared" si="139"/>
        <v>0</v>
      </c>
      <c r="S499" s="62">
        <f t="shared" si="139"/>
        <v>0</v>
      </c>
      <c r="T499" s="62">
        <f t="shared" si="139"/>
        <v>139</v>
      </c>
      <c r="U499" s="62">
        <f t="shared" si="139"/>
        <v>0</v>
      </c>
      <c r="V499" s="62">
        <f t="shared" si="139"/>
        <v>0</v>
      </c>
      <c r="W499" s="62">
        <f t="shared" si="139"/>
        <v>1716</v>
      </c>
      <c r="X499" s="84">
        <f t="shared" si="139"/>
        <v>67113</v>
      </c>
      <c r="Y499" s="84">
        <f t="shared" si="139"/>
        <v>805356</v>
      </c>
    </row>
    <row r="500" spans="1:25" ht="21.75" customHeight="1">
      <c r="A500" s="351" t="s">
        <v>133</v>
      </c>
      <c r="B500" s="352"/>
      <c r="C500" s="352"/>
      <c r="D500" s="352"/>
      <c r="E500" s="352"/>
      <c r="F500" s="352"/>
      <c r="G500" s="352"/>
      <c r="H500" s="352"/>
      <c r="I500" s="352"/>
      <c r="J500" s="352"/>
      <c r="K500" s="352"/>
      <c r="L500" s="352"/>
      <c r="M500" s="352"/>
      <c r="N500" s="352"/>
      <c r="O500" s="352"/>
      <c r="P500" s="352"/>
      <c r="Q500" s="352"/>
      <c r="R500" s="352"/>
      <c r="S500" s="352"/>
      <c r="T500" s="352"/>
      <c r="U500" s="352"/>
      <c r="V500" s="352"/>
      <c r="W500" s="352"/>
      <c r="X500" s="352"/>
      <c r="Y500" s="353"/>
    </row>
    <row r="501" spans="1:25" ht="19.5" customHeight="1">
      <c r="A501" s="143">
        <v>1</v>
      </c>
      <c r="B501" s="63" t="s">
        <v>68</v>
      </c>
      <c r="C501" s="62">
        <v>1</v>
      </c>
      <c r="D501" s="62">
        <v>7</v>
      </c>
      <c r="E501" s="37">
        <v>1714</v>
      </c>
      <c r="F501" s="80">
        <f aca="true" t="shared" si="140" ref="F501:F508">E501*C501</f>
        <v>1714</v>
      </c>
      <c r="G501" s="80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>
        <f aca="true" t="shared" si="141" ref="W501:W508">SUM(H501:V501)</f>
        <v>0</v>
      </c>
      <c r="X501" s="80">
        <f>F501+W501</f>
        <v>1714</v>
      </c>
      <c r="Y501" s="80">
        <f aca="true" t="shared" si="142" ref="Y501:Y508">X501*12</f>
        <v>20568</v>
      </c>
    </row>
    <row r="502" spans="1:25" ht="19.5" customHeight="1">
      <c r="A502" s="143">
        <v>2</v>
      </c>
      <c r="B502" s="63" t="s">
        <v>134</v>
      </c>
      <c r="C502" s="62">
        <f>1.5+1-0.5</f>
        <v>2</v>
      </c>
      <c r="D502" s="62">
        <v>5</v>
      </c>
      <c r="E502" s="37">
        <v>1514</v>
      </c>
      <c r="F502" s="80">
        <f t="shared" si="140"/>
        <v>3028</v>
      </c>
      <c r="G502" s="80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>
        <f t="shared" si="141"/>
        <v>0</v>
      </c>
      <c r="X502" s="80">
        <f>F502+W502</f>
        <v>3028</v>
      </c>
      <c r="Y502" s="80">
        <f t="shared" si="142"/>
        <v>36336</v>
      </c>
    </row>
    <row r="503" spans="1:25" ht="19.5" customHeight="1">
      <c r="A503" s="143">
        <v>3</v>
      </c>
      <c r="B503" s="63" t="s">
        <v>137</v>
      </c>
      <c r="C503" s="62">
        <f>13+5+2-5+3-2-2</f>
        <v>14</v>
      </c>
      <c r="D503" s="62">
        <v>2</v>
      </c>
      <c r="E503" s="37">
        <v>1383</v>
      </c>
      <c r="F503" s="80">
        <f t="shared" si="140"/>
        <v>19362</v>
      </c>
      <c r="G503" s="80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>
        <f t="shared" si="141"/>
        <v>0</v>
      </c>
      <c r="X503" s="80">
        <f>F503+W503</f>
        <v>19362</v>
      </c>
      <c r="Y503" s="80">
        <f t="shared" si="142"/>
        <v>232344</v>
      </c>
    </row>
    <row r="504" spans="1:25" ht="19.5" customHeight="1">
      <c r="A504" s="143">
        <v>4</v>
      </c>
      <c r="B504" s="63" t="s">
        <v>144</v>
      </c>
      <c r="C504" s="62">
        <v>4</v>
      </c>
      <c r="D504" s="62">
        <v>1</v>
      </c>
      <c r="E504" s="37">
        <v>1378</v>
      </c>
      <c r="F504" s="80">
        <f t="shared" si="140"/>
        <v>5512</v>
      </c>
      <c r="G504" s="80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>
        <f t="shared" si="141"/>
        <v>0</v>
      </c>
      <c r="X504" s="80">
        <f>F504+W504</f>
        <v>5512</v>
      </c>
      <c r="Y504" s="80">
        <f t="shared" si="142"/>
        <v>66144</v>
      </c>
    </row>
    <row r="505" spans="1:25" ht="18" customHeight="1">
      <c r="A505" s="143">
        <v>5</v>
      </c>
      <c r="B505" s="63" t="s">
        <v>139</v>
      </c>
      <c r="C505" s="65">
        <v>1</v>
      </c>
      <c r="D505" s="65">
        <v>1</v>
      </c>
      <c r="E505" s="40">
        <v>1378</v>
      </c>
      <c r="F505" s="41">
        <f t="shared" si="140"/>
        <v>1378</v>
      </c>
      <c r="G505" s="41"/>
      <c r="H505" s="43"/>
      <c r="I505" s="43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3">
        <f t="shared" si="141"/>
        <v>0</v>
      </c>
      <c r="X505" s="41">
        <f>C505*E505+W505</f>
        <v>1378</v>
      </c>
      <c r="Y505" s="80">
        <f t="shared" si="142"/>
        <v>16536</v>
      </c>
    </row>
    <row r="506" spans="1:25" ht="18" customHeight="1">
      <c r="A506" s="143">
        <v>6</v>
      </c>
      <c r="B506" s="63" t="s">
        <v>138</v>
      </c>
      <c r="C506" s="62">
        <f>7-5</f>
        <v>2</v>
      </c>
      <c r="D506" s="62">
        <v>1</v>
      </c>
      <c r="E506" s="37">
        <v>1378</v>
      </c>
      <c r="F506" s="80">
        <f t="shared" si="140"/>
        <v>2756</v>
      </c>
      <c r="G506" s="80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>
        <f t="shared" si="141"/>
        <v>0</v>
      </c>
      <c r="X506" s="80">
        <f>F506+W506</f>
        <v>2756</v>
      </c>
      <c r="Y506" s="80">
        <f t="shared" si="142"/>
        <v>33072</v>
      </c>
    </row>
    <row r="507" spans="1:25" ht="19.5" customHeight="1">
      <c r="A507" s="143">
        <v>7</v>
      </c>
      <c r="B507" s="63" t="s">
        <v>165</v>
      </c>
      <c r="C507" s="62">
        <v>1</v>
      </c>
      <c r="D507" s="62">
        <v>3</v>
      </c>
      <c r="E507" s="37">
        <v>1393</v>
      </c>
      <c r="F507" s="80">
        <f t="shared" si="140"/>
        <v>1393</v>
      </c>
      <c r="G507" s="80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>
        <f t="shared" si="141"/>
        <v>0</v>
      </c>
      <c r="X507" s="80">
        <f>F507+W507</f>
        <v>1393</v>
      </c>
      <c r="Y507" s="80">
        <f t="shared" si="142"/>
        <v>16716</v>
      </c>
    </row>
    <row r="508" spans="1:25" ht="19.5" customHeight="1">
      <c r="A508" s="143">
        <v>8</v>
      </c>
      <c r="B508" s="63" t="s">
        <v>291</v>
      </c>
      <c r="C508" s="62">
        <v>1</v>
      </c>
      <c r="D508" s="62">
        <v>2</v>
      </c>
      <c r="E508" s="37">
        <v>1383</v>
      </c>
      <c r="F508" s="80">
        <f t="shared" si="140"/>
        <v>1383</v>
      </c>
      <c r="G508" s="80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>
        <f>ROUNDUP(F508*10%,0)</f>
        <v>139</v>
      </c>
      <c r="U508" s="62"/>
      <c r="V508" s="62"/>
      <c r="W508" s="62">
        <f t="shared" si="141"/>
        <v>139</v>
      </c>
      <c r="X508" s="80">
        <f>F508+W508</f>
        <v>1522</v>
      </c>
      <c r="Y508" s="80">
        <f t="shared" si="142"/>
        <v>18264</v>
      </c>
    </row>
    <row r="509" spans="1:29" s="79" customFormat="1" ht="19.5" customHeight="1">
      <c r="A509" s="52"/>
      <c r="B509" s="78"/>
      <c r="C509" s="74">
        <f>SUM(C501:C508)</f>
        <v>26</v>
      </c>
      <c r="D509" s="74"/>
      <c r="E509" s="74"/>
      <c r="F509" s="70">
        <f>SUM(F501:F508)</f>
        <v>36526</v>
      </c>
      <c r="G509" s="70"/>
      <c r="H509" s="74">
        <f aca="true" t="shared" si="143" ref="H509:AC509">SUM(H501:H508)</f>
        <v>0</v>
      </c>
      <c r="I509" s="74">
        <f t="shared" si="143"/>
        <v>0</v>
      </c>
      <c r="J509" s="74">
        <f t="shared" si="143"/>
        <v>0</v>
      </c>
      <c r="K509" s="74">
        <f t="shared" si="143"/>
        <v>0</v>
      </c>
      <c r="L509" s="74">
        <f t="shared" si="143"/>
        <v>0</v>
      </c>
      <c r="M509" s="74">
        <f t="shared" si="143"/>
        <v>0</v>
      </c>
      <c r="N509" s="74">
        <f t="shared" si="143"/>
        <v>0</v>
      </c>
      <c r="O509" s="74">
        <f t="shared" si="143"/>
        <v>0</v>
      </c>
      <c r="P509" s="74">
        <f t="shared" si="143"/>
        <v>0</v>
      </c>
      <c r="Q509" s="74">
        <f t="shared" si="143"/>
        <v>0</v>
      </c>
      <c r="R509" s="74">
        <f t="shared" si="143"/>
        <v>0</v>
      </c>
      <c r="S509" s="74">
        <f t="shared" si="143"/>
        <v>0</v>
      </c>
      <c r="T509" s="74">
        <f t="shared" si="143"/>
        <v>139</v>
      </c>
      <c r="U509" s="74">
        <f t="shared" si="143"/>
        <v>0</v>
      </c>
      <c r="V509" s="74">
        <f t="shared" si="143"/>
        <v>0</v>
      </c>
      <c r="W509" s="74">
        <f t="shared" si="143"/>
        <v>139</v>
      </c>
      <c r="X509" s="70">
        <f t="shared" si="143"/>
        <v>36665</v>
      </c>
      <c r="Y509" s="70">
        <f t="shared" si="143"/>
        <v>439980</v>
      </c>
      <c r="Z509" s="74">
        <f t="shared" si="143"/>
        <v>0</v>
      </c>
      <c r="AA509" s="74">
        <f t="shared" si="143"/>
        <v>0</v>
      </c>
      <c r="AB509" s="74">
        <f t="shared" si="143"/>
        <v>0</v>
      </c>
      <c r="AC509" s="74">
        <f t="shared" si="143"/>
        <v>0</v>
      </c>
    </row>
    <row r="510" spans="1:25" ht="24" customHeight="1">
      <c r="A510" s="290" t="s">
        <v>294</v>
      </c>
      <c r="B510" s="291"/>
      <c r="C510" s="291"/>
      <c r="D510" s="291"/>
      <c r="E510" s="291"/>
      <c r="F510" s="291"/>
      <c r="G510" s="291"/>
      <c r="H510" s="291"/>
      <c r="I510" s="291"/>
      <c r="J510" s="291"/>
      <c r="K510" s="291"/>
      <c r="L510" s="291"/>
      <c r="M510" s="291"/>
      <c r="N510" s="291"/>
      <c r="O510" s="291"/>
      <c r="P510" s="291"/>
      <c r="Q510" s="291"/>
      <c r="R510" s="291"/>
      <c r="S510" s="291"/>
      <c r="T510" s="291"/>
      <c r="U510" s="291"/>
      <c r="V510" s="291"/>
      <c r="W510" s="291"/>
      <c r="X510" s="291"/>
      <c r="Y510" s="292"/>
    </row>
    <row r="511" spans="1:25" ht="15.75" customHeight="1">
      <c r="A511" s="62">
        <v>1</v>
      </c>
      <c r="B511" s="63" t="s">
        <v>84</v>
      </c>
      <c r="C511" s="62">
        <v>1</v>
      </c>
      <c r="D511" s="62">
        <v>12</v>
      </c>
      <c r="E511" s="62">
        <v>2360</v>
      </c>
      <c r="F511" s="80">
        <f aca="true" t="shared" si="144" ref="F511:F520">E511*C511</f>
        <v>2360</v>
      </c>
      <c r="G511" s="80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>
        <f aca="true" t="shared" si="145" ref="W511:W521">SUM(H511:V511)</f>
        <v>0</v>
      </c>
      <c r="X511" s="80">
        <f aca="true" t="shared" si="146" ref="X511:X520">C511*E511+W511</f>
        <v>2360</v>
      </c>
      <c r="Y511" s="80">
        <f aca="true" t="shared" si="147" ref="Y511:Y520">X511*12</f>
        <v>28320</v>
      </c>
    </row>
    <row r="512" spans="1:25" ht="19.5" customHeight="1">
      <c r="A512" s="62">
        <v>2</v>
      </c>
      <c r="B512" s="63" t="s">
        <v>295</v>
      </c>
      <c r="C512" s="62">
        <v>1</v>
      </c>
      <c r="D512" s="62"/>
      <c r="E512" s="62">
        <v>2242</v>
      </c>
      <c r="F512" s="80">
        <f t="shared" si="144"/>
        <v>2242</v>
      </c>
      <c r="G512" s="80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>
        <f t="shared" si="145"/>
        <v>0</v>
      </c>
      <c r="X512" s="80">
        <f t="shared" si="146"/>
        <v>2242</v>
      </c>
      <c r="Y512" s="80">
        <f t="shared" si="147"/>
        <v>26904</v>
      </c>
    </row>
    <row r="513" spans="1:25" ht="19.5" customHeight="1">
      <c r="A513" s="62">
        <v>3</v>
      </c>
      <c r="B513" s="63" t="s">
        <v>269</v>
      </c>
      <c r="C513" s="62">
        <v>1</v>
      </c>
      <c r="D513" s="62">
        <v>10</v>
      </c>
      <c r="E513" s="62">
        <v>2026</v>
      </c>
      <c r="F513" s="80">
        <f t="shared" si="144"/>
        <v>2026</v>
      </c>
      <c r="G513" s="80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>
        <f t="shared" si="145"/>
        <v>0</v>
      </c>
      <c r="X513" s="80">
        <f t="shared" si="146"/>
        <v>2026</v>
      </c>
      <c r="Y513" s="80">
        <f t="shared" si="147"/>
        <v>24312</v>
      </c>
    </row>
    <row r="514" spans="1:25" ht="19.5" customHeight="1">
      <c r="A514" s="62">
        <v>4</v>
      </c>
      <c r="B514" s="63" t="s">
        <v>65</v>
      </c>
      <c r="C514" s="62">
        <v>7</v>
      </c>
      <c r="D514" s="62">
        <v>9</v>
      </c>
      <c r="E514" s="62">
        <v>1925</v>
      </c>
      <c r="F514" s="80">
        <f t="shared" si="144"/>
        <v>13475</v>
      </c>
      <c r="G514" s="80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>
        <f t="shared" si="145"/>
        <v>0</v>
      </c>
      <c r="X514" s="80">
        <f t="shared" si="146"/>
        <v>13475</v>
      </c>
      <c r="Y514" s="80">
        <f t="shared" si="147"/>
        <v>161700</v>
      </c>
    </row>
    <row r="515" spans="1:25" ht="19.5" customHeight="1">
      <c r="A515" s="62">
        <v>5</v>
      </c>
      <c r="B515" s="63" t="s">
        <v>66</v>
      </c>
      <c r="C515" s="62">
        <v>2</v>
      </c>
      <c r="D515" s="62">
        <v>8</v>
      </c>
      <c r="E515" s="62">
        <v>1825</v>
      </c>
      <c r="F515" s="80">
        <f t="shared" si="144"/>
        <v>3650</v>
      </c>
      <c r="G515" s="80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>
        <f t="shared" si="145"/>
        <v>0</v>
      </c>
      <c r="X515" s="80">
        <f t="shared" si="146"/>
        <v>3650</v>
      </c>
      <c r="Y515" s="80">
        <f t="shared" si="147"/>
        <v>43800</v>
      </c>
    </row>
    <row r="516" spans="1:25" ht="19.5" customHeight="1">
      <c r="A516" s="62">
        <v>6</v>
      </c>
      <c r="B516" s="63" t="s">
        <v>85</v>
      </c>
      <c r="C516" s="62">
        <f>3-1</f>
        <v>2</v>
      </c>
      <c r="D516" s="62">
        <v>7</v>
      </c>
      <c r="E516" s="62">
        <v>1714</v>
      </c>
      <c r="F516" s="80">
        <f t="shared" si="144"/>
        <v>3428</v>
      </c>
      <c r="G516" s="80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>
        <f t="shared" si="145"/>
        <v>0</v>
      </c>
      <c r="X516" s="80">
        <f t="shared" si="146"/>
        <v>3428</v>
      </c>
      <c r="Y516" s="80">
        <f t="shared" si="147"/>
        <v>41136</v>
      </c>
    </row>
    <row r="517" spans="1:25" ht="19.5" customHeight="1">
      <c r="A517" s="62">
        <v>7</v>
      </c>
      <c r="B517" s="63" t="s">
        <v>296</v>
      </c>
      <c r="C517" s="62">
        <v>1</v>
      </c>
      <c r="D517" s="62">
        <v>6</v>
      </c>
      <c r="E517" s="62">
        <v>1614</v>
      </c>
      <c r="F517" s="80">
        <f t="shared" si="144"/>
        <v>1614</v>
      </c>
      <c r="G517" s="80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>
        <f t="shared" si="145"/>
        <v>0</v>
      </c>
      <c r="X517" s="80">
        <f t="shared" si="146"/>
        <v>1614</v>
      </c>
      <c r="Y517" s="80">
        <f t="shared" si="147"/>
        <v>19368</v>
      </c>
    </row>
    <row r="518" spans="1:25" ht="25.5" customHeight="1">
      <c r="A518" s="62">
        <v>8</v>
      </c>
      <c r="B518" s="93" t="s">
        <v>297</v>
      </c>
      <c r="C518" s="62">
        <v>1</v>
      </c>
      <c r="D518" s="112">
        <v>5</v>
      </c>
      <c r="E518" s="62">
        <v>1514</v>
      </c>
      <c r="F518" s="80">
        <f t="shared" si="144"/>
        <v>1514</v>
      </c>
      <c r="G518" s="80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>
        <f t="shared" si="145"/>
        <v>0</v>
      </c>
      <c r="X518" s="80">
        <f t="shared" si="146"/>
        <v>1514</v>
      </c>
      <c r="Y518" s="80">
        <f t="shared" si="147"/>
        <v>18168</v>
      </c>
    </row>
    <row r="519" spans="1:25" ht="27" customHeight="1">
      <c r="A519" s="62">
        <v>9</v>
      </c>
      <c r="B519" s="93" t="s">
        <v>298</v>
      </c>
      <c r="C519" s="62">
        <v>1</v>
      </c>
      <c r="D519" s="112">
        <v>5</v>
      </c>
      <c r="E519" s="62">
        <v>1514</v>
      </c>
      <c r="F519" s="80">
        <f t="shared" si="144"/>
        <v>1514</v>
      </c>
      <c r="G519" s="80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>
        <f t="shared" si="145"/>
        <v>0</v>
      </c>
      <c r="X519" s="80">
        <f t="shared" si="146"/>
        <v>1514</v>
      </c>
      <c r="Y519" s="80">
        <f t="shared" si="147"/>
        <v>18168</v>
      </c>
    </row>
    <row r="520" spans="1:25" ht="25.5" customHeight="1">
      <c r="A520" s="62">
        <v>10</v>
      </c>
      <c r="B520" s="93" t="s">
        <v>299</v>
      </c>
      <c r="C520" s="62">
        <v>0.5</v>
      </c>
      <c r="D520" s="112">
        <v>5</v>
      </c>
      <c r="E520" s="62">
        <v>1514</v>
      </c>
      <c r="F520" s="80">
        <f t="shared" si="144"/>
        <v>757</v>
      </c>
      <c r="G520" s="80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>
        <f t="shared" si="145"/>
        <v>0</v>
      </c>
      <c r="X520" s="80">
        <f t="shared" si="146"/>
        <v>757</v>
      </c>
      <c r="Y520" s="80">
        <f t="shared" si="147"/>
        <v>9084</v>
      </c>
    </row>
    <row r="521" spans="1:25" ht="16.5" customHeight="1">
      <c r="A521" s="81"/>
      <c r="B521" s="63"/>
      <c r="C521" s="83">
        <f>SUM(C511:C520)</f>
        <v>17.5</v>
      </c>
      <c r="D521" s="83"/>
      <c r="E521" s="62"/>
      <c r="F521" s="70">
        <f>SUM(F511:F520)</f>
        <v>32580</v>
      </c>
      <c r="G521" s="70"/>
      <c r="H521" s="62">
        <f aca="true" t="shared" si="148" ref="H521:V521">SUM(H511:H520)</f>
        <v>0</v>
      </c>
      <c r="I521" s="62">
        <f t="shared" si="148"/>
        <v>0</v>
      </c>
      <c r="J521" s="62">
        <f t="shared" si="148"/>
        <v>0</v>
      </c>
      <c r="K521" s="62">
        <f t="shared" si="148"/>
        <v>0</v>
      </c>
      <c r="L521" s="62">
        <f t="shared" si="148"/>
        <v>0</v>
      </c>
      <c r="M521" s="62">
        <f t="shared" si="148"/>
        <v>0</v>
      </c>
      <c r="N521" s="62">
        <f t="shared" si="148"/>
        <v>0</v>
      </c>
      <c r="O521" s="62">
        <f t="shared" si="148"/>
        <v>0</v>
      </c>
      <c r="P521" s="62">
        <f t="shared" si="148"/>
        <v>0</v>
      </c>
      <c r="Q521" s="62">
        <f t="shared" si="148"/>
        <v>0</v>
      </c>
      <c r="R521" s="62">
        <f t="shared" si="148"/>
        <v>0</v>
      </c>
      <c r="S521" s="62">
        <f t="shared" si="148"/>
        <v>0</v>
      </c>
      <c r="T521" s="62">
        <f t="shared" si="148"/>
        <v>0</v>
      </c>
      <c r="U521" s="62">
        <f t="shared" si="148"/>
        <v>0</v>
      </c>
      <c r="V521" s="62">
        <f t="shared" si="148"/>
        <v>0</v>
      </c>
      <c r="W521" s="62">
        <f t="shared" si="145"/>
        <v>0</v>
      </c>
      <c r="X521" s="84">
        <f>SUM(X511:X520)</f>
        <v>32580</v>
      </c>
      <c r="Y521" s="84">
        <f>SUM(Y511:Y520)</f>
        <v>390960</v>
      </c>
    </row>
    <row r="522" spans="1:25" ht="19.5" customHeight="1">
      <c r="A522" s="290" t="s">
        <v>300</v>
      </c>
      <c r="B522" s="291"/>
      <c r="C522" s="291"/>
      <c r="D522" s="291"/>
      <c r="E522" s="291"/>
      <c r="F522" s="291"/>
      <c r="G522" s="291"/>
      <c r="H522" s="291"/>
      <c r="I522" s="291"/>
      <c r="J522" s="291"/>
      <c r="K522" s="291"/>
      <c r="L522" s="291"/>
      <c r="M522" s="291"/>
      <c r="N522" s="291"/>
      <c r="O522" s="291"/>
      <c r="P522" s="291"/>
      <c r="Q522" s="291"/>
      <c r="R522" s="291"/>
      <c r="S522" s="291"/>
      <c r="T522" s="291"/>
      <c r="U522" s="291"/>
      <c r="V522" s="291"/>
      <c r="W522" s="291"/>
      <c r="X522" s="291"/>
      <c r="Y522" s="292"/>
    </row>
    <row r="523" spans="1:25" ht="25.5" customHeight="1">
      <c r="A523" s="37">
        <v>1</v>
      </c>
      <c r="B523" s="63" t="s">
        <v>301</v>
      </c>
      <c r="C523" s="37">
        <v>5</v>
      </c>
      <c r="D523" s="62">
        <v>9</v>
      </c>
      <c r="E523" s="62">
        <v>1925</v>
      </c>
      <c r="F523" s="80">
        <f>E523*C523</f>
        <v>9625</v>
      </c>
      <c r="G523" s="80"/>
      <c r="H523" s="62"/>
      <c r="I523" s="62"/>
      <c r="J523" s="83"/>
      <c r="K523" s="83"/>
      <c r="L523" s="83"/>
      <c r="M523" s="83"/>
      <c r="N523" s="37"/>
      <c r="O523" s="83"/>
      <c r="P523" s="83"/>
      <c r="Q523" s="83"/>
      <c r="R523" s="83"/>
      <c r="S523" s="83"/>
      <c r="T523" s="83"/>
      <c r="U523" s="83"/>
      <c r="V523" s="83"/>
      <c r="W523" s="37">
        <f>SUM(H523:V523)</f>
        <v>0</v>
      </c>
      <c r="X523" s="80">
        <f>C523*E523+W523</f>
        <v>9625</v>
      </c>
      <c r="Y523" s="76">
        <f>X523*12</f>
        <v>115500</v>
      </c>
    </row>
    <row r="524" spans="1:25" ht="25.5" customHeight="1">
      <c r="A524" s="37">
        <v>2</v>
      </c>
      <c r="B524" s="63" t="s">
        <v>302</v>
      </c>
      <c r="C524" s="37">
        <v>1</v>
      </c>
      <c r="D524" s="62">
        <v>8</v>
      </c>
      <c r="E524" s="37">
        <v>1825</v>
      </c>
      <c r="F524" s="76">
        <f>E524*C524</f>
        <v>1825</v>
      </c>
      <c r="G524" s="80"/>
      <c r="H524" s="62"/>
      <c r="I524" s="62"/>
      <c r="J524" s="83"/>
      <c r="K524" s="83"/>
      <c r="L524" s="83"/>
      <c r="M524" s="83"/>
      <c r="N524" s="37"/>
      <c r="O524" s="83"/>
      <c r="P524" s="83"/>
      <c r="Q524" s="83"/>
      <c r="R524" s="83"/>
      <c r="S524" s="83"/>
      <c r="T524" s="83"/>
      <c r="U524" s="83"/>
      <c r="V524" s="83"/>
      <c r="W524" s="37">
        <f>SUM(H524:V524)</f>
        <v>0</v>
      </c>
      <c r="X524" s="80">
        <f>C524*E524+W524</f>
        <v>1825</v>
      </c>
      <c r="Y524" s="76">
        <f>X524*12</f>
        <v>21900</v>
      </c>
    </row>
    <row r="525" spans="1:25" ht="25.5" customHeight="1">
      <c r="A525" s="37">
        <v>3</v>
      </c>
      <c r="B525" s="63" t="s">
        <v>303</v>
      </c>
      <c r="C525" s="62">
        <v>1</v>
      </c>
      <c r="D525" s="62">
        <v>9</v>
      </c>
      <c r="E525" s="62">
        <v>1925</v>
      </c>
      <c r="F525" s="80">
        <f>E525*C525</f>
        <v>1925</v>
      </c>
      <c r="G525" s="80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37">
        <f>SUM(H525:V525)</f>
        <v>0</v>
      </c>
      <c r="X525" s="80">
        <f>C525*E525+W525</f>
        <v>1925</v>
      </c>
      <c r="Y525" s="76">
        <f>X525*12</f>
        <v>23100</v>
      </c>
    </row>
    <row r="526" spans="1:25" ht="21" customHeight="1">
      <c r="A526" s="37">
        <v>4</v>
      </c>
      <c r="B526" s="63" t="s">
        <v>304</v>
      </c>
      <c r="C526" s="62">
        <v>1</v>
      </c>
      <c r="D526" s="62">
        <v>5</v>
      </c>
      <c r="E526" s="62">
        <v>1514</v>
      </c>
      <c r="F526" s="80">
        <f>E526*C526</f>
        <v>1514</v>
      </c>
      <c r="G526" s="80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37">
        <f>SUM(H526:V526)</f>
        <v>0</v>
      </c>
      <c r="X526" s="80">
        <f>C526*E526+W526</f>
        <v>1514</v>
      </c>
      <c r="Y526" s="76">
        <f>X526*12</f>
        <v>18168</v>
      </c>
    </row>
    <row r="527" spans="1:25" ht="18" customHeight="1">
      <c r="A527" s="144"/>
      <c r="B527" s="63"/>
      <c r="C527" s="83">
        <f>SUM(C523:C526)</f>
        <v>8</v>
      </c>
      <c r="D527" s="83"/>
      <c r="E527" s="62"/>
      <c r="F527" s="70">
        <f>SUM(F523:F526)</f>
        <v>14889</v>
      </c>
      <c r="G527" s="70"/>
      <c r="H527" s="62">
        <f aca="true" t="shared" si="149" ref="H527:V527">SUM(H523:H526)</f>
        <v>0</v>
      </c>
      <c r="I527" s="62">
        <f t="shared" si="149"/>
        <v>0</v>
      </c>
      <c r="J527" s="62">
        <f t="shared" si="149"/>
        <v>0</v>
      </c>
      <c r="K527" s="62">
        <f t="shared" si="149"/>
        <v>0</v>
      </c>
      <c r="L527" s="62">
        <f t="shared" si="149"/>
        <v>0</v>
      </c>
      <c r="M527" s="62">
        <f t="shared" si="149"/>
        <v>0</v>
      </c>
      <c r="N527" s="62">
        <f t="shared" si="149"/>
        <v>0</v>
      </c>
      <c r="O527" s="62">
        <f t="shared" si="149"/>
        <v>0</v>
      </c>
      <c r="P527" s="62">
        <f t="shared" si="149"/>
        <v>0</v>
      </c>
      <c r="Q527" s="62">
        <f t="shared" si="149"/>
        <v>0</v>
      </c>
      <c r="R527" s="62">
        <f t="shared" si="149"/>
        <v>0</v>
      </c>
      <c r="S527" s="62">
        <f t="shared" si="149"/>
        <v>0</v>
      </c>
      <c r="T527" s="62">
        <f t="shared" si="149"/>
        <v>0</v>
      </c>
      <c r="U527" s="62">
        <f t="shared" si="149"/>
        <v>0</v>
      </c>
      <c r="V527" s="62">
        <f t="shared" si="149"/>
        <v>0</v>
      </c>
      <c r="W527" s="37">
        <f>SUM(H527:V527)</f>
        <v>0</v>
      </c>
      <c r="X527" s="70">
        <f>SUM(X523:X526)</f>
        <v>14889</v>
      </c>
      <c r="Y527" s="70">
        <f>SUM(Y523:Y526)</f>
        <v>178668</v>
      </c>
    </row>
    <row r="528" spans="1:25" ht="16.5" customHeight="1">
      <c r="A528" s="287" t="s">
        <v>130</v>
      </c>
      <c r="B528" s="288"/>
      <c r="C528" s="288"/>
      <c r="D528" s="288"/>
      <c r="E528" s="288"/>
      <c r="F528" s="288"/>
      <c r="G528" s="288"/>
      <c r="H528" s="288"/>
      <c r="I528" s="288"/>
      <c r="J528" s="288"/>
      <c r="K528" s="288"/>
      <c r="L528" s="288"/>
      <c r="M528" s="288"/>
      <c r="N528" s="288"/>
      <c r="O528" s="288"/>
      <c r="P528" s="288"/>
      <c r="Q528" s="288"/>
      <c r="R528" s="288"/>
      <c r="S528" s="288"/>
      <c r="T528" s="288"/>
      <c r="U528" s="288"/>
      <c r="V528" s="288"/>
      <c r="W528" s="288"/>
      <c r="X528" s="288"/>
      <c r="Y528" s="289"/>
    </row>
    <row r="529" spans="1:25" s="2" customFormat="1" ht="23.25" customHeight="1">
      <c r="A529" s="37">
        <v>1</v>
      </c>
      <c r="B529" s="38" t="s">
        <v>305</v>
      </c>
      <c r="C529" s="37">
        <v>1</v>
      </c>
      <c r="D529" s="37">
        <v>10</v>
      </c>
      <c r="E529" s="37">
        <v>2026</v>
      </c>
      <c r="F529" s="76">
        <f>E529*C529</f>
        <v>2026</v>
      </c>
      <c r="G529" s="76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>
        <f>SUM(H529:V529)</f>
        <v>0</v>
      </c>
      <c r="X529" s="76">
        <f>W529+F529</f>
        <v>2026</v>
      </c>
      <c r="Y529" s="76">
        <f>X529*12</f>
        <v>24312</v>
      </c>
    </row>
    <row r="530" spans="1:25" s="2" customFormat="1" ht="23.25" customHeight="1">
      <c r="A530" s="37">
        <v>2</v>
      </c>
      <c r="B530" s="38" t="s">
        <v>104</v>
      </c>
      <c r="C530" s="37">
        <v>1</v>
      </c>
      <c r="D530" s="37">
        <v>5</v>
      </c>
      <c r="E530" s="62">
        <v>1514</v>
      </c>
      <c r="F530" s="80">
        <f>E530*C530</f>
        <v>1514</v>
      </c>
      <c r="G530" s="80"/>
      <c r="H530" s="62"/>
      <c r="I530" s="62"/>
      <c r="J530" s="83"/>
      <c r="K530" s="83"/>
      <c r="L530" s="83"/>
      <c r="M530" s="83"/>
      <c r="N530" s="37"/>
      <c r="O530" s="83"/>
      <c r="P530" s="83"/>
      <c r="Q530" s="83"/>
      <c r="R530" s="83"/>
      <c r="S530" s="83"/>
      <c r="T530" s="83"/>
      <c r="U530" s="83"/>
      <c r="V530" s="83"/>
      <c r="W530" s="37">
        <f>SUM(H530:V530)</f>
        <v>0</v>
      </c>
      <c r="X530" s="80">
        <f>C530*E530+W530</f>
        <v>1514</v>
      </c>
      <c r="Y530" s="76">
        <f>X530*12</f>
        <v>18168</v>
      </c>
    </row>
    <row r="531" spans="1:26" ht="23.25" customHeight="1">
      <c r="A531" s="81"/>
      <c r="B531" s="63"/>
      <c r="C531" s="83">
        <f>SUM(C529:C530)</f>
        <v>2</v>
      </c>
      <c r="D531" s="83"/>
      <c r="E531" s="62"/>
      <c r="F531" s="70">
        <f>SUM(F529:F530)</f>
        <v>3540</v>
      </c>
      <c r="G531" s="70"/>
      <c r="H531" s="70">
        <f aca="true" t="shared" si="150" ref="H531:Y531">SUM(H529:H530)</f>
        <v>0</v>
      </c>
      <c r="I531" s="70">
        <f t="shared" si="150"/>
        <v>0</v>
      </c>
      <c r="J531" s="70">
        <f t="shared" si="150"/>
        <v>0</v>
      </c>
      <c r="K531" s="70">
        <f t="shared" si="150"/>
        <v>0</v>
      </c>
      <c r="L531" s="70">
        <f t="shared" si="150"/>
        <v>0</v>
      </c>
      <c r="M531" s="70">
        <f t="shared" si="150"/>
        <v>0</v>
      </c>
      <c r="N531" s="70">
        <f t="shared" si="150"/>
        <v>0</v>
      </c>
      <c r="O531" s="70">
        <f t="shared" si="150"/>
        <v>0</v>
      </c>
      <c r="P531" s="70">
        <f t="shared" si="150"/>
        <v>0</v>
      </c>
      <c r="Q531" s="70">
        <f t="shared" si="150"/>
        <v>0</v>
      </c>
      <c r="R531" s="70">
        <f t="shared" si="150"/>
        <v>0</v>
      </c>
      <c r="S531" s="70">
        <f t="shared" si="150"/>
        <v>0</v>
      </c>
      <c r="T531" s="70">
        <f t="shared" si="150"/>
        <v>0</v>
      </c>
      <c r="U531" s="70">
        <f t="shared" si="150"/>
        <v>0</v>
      </c>
      <c r="V531" s="70">
        <f t="shared" si="150"/>
        <v>0</v>
      </c>
      <c r="W531" s="70">
        <f t="shared" si="150"/>
        <v>0</v>
      </c>
      <c r="X531" s="70">
        <f t="shared" si="150"/>
        <v>3540</v>
      </c>
      <c r="Y531" s="70">
        <f t="shared" si="150"/>
        <v>42480</v>
      </c>
      <c r="Z531" s="70">
        <f>SUM(Z529)</f>
        <v>0</v>
      </c>
    </row>
    <row r="532" spans="1:25" ht="16.5" customHeight="1">
      <c r="A532" s="290" t="s">
        <v>225</v>
      </c>
      <c r="B532" s="291"/>
      <c r="C532" s="291"/>
      <c r="D532" s="291"/>
      <c r="E532" s="291"/>
      <c r="F532" s="291"/>
      <c r="G532" s="291"/>
      <c r="H532" s="291"/>
      <c r="I532" s="291"/>
      <c r="J532" s="291"/>
      <c r="K532" s="291"/>
      <c r="L532" s="291"/>
      <c r="M532" s="291"/>
      <c r="N532" s="291"/>
      <c r="O532" s="291"/>
      <c r="P532" s="291"/>
      <c r="Q532" s="291"/>
      <c r="R532" s="291"/>
      <c r="S532" s="291"/>
      <c r="T532" s="291"/>
      <c r="U532" s="291"/>
      <c r="V532" s="291"/>
      <c r="W532" s="291"/>
      <c r="X532" s="291"/>
      <c r="Y532" s="292"/>
    </row>
    <row r="533" spans="1:25" ht="24" customHeight="1">
      <c r="A533" s="37">
        <v>1</v>
      </c>
      <c r="B533" s="38" t="s">
        <v>289</v>
      </c>
      <c r="C533" s="62">
        <f>26.5+6-6.5-10+7-6+4</f>
        <v>21</v>
      </c>
      <c r="D533" s="62">
        <v>2</v>
      </c>
      <c r="E533" s="37">
        <v>1383</v>
      </c>
      <c r="F533" s="76">
        <f>E533*C533</f>
        <v>29043</v>
      </c>
      <c r="G533" s="76"/>
      <c r="H533" s="37"/>
      <c r="I533" s="37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37">
        <f>SUM(H533:V533)</f>
        <v>0</v>
      </c>
      <c r="X533" s="80">
        <f>F533+W533</f>
        <v>29043</v>
      </c>
      <c r="Y533" s="76">
        <f>X533*12</f>
        <v>348516</v>
      </c>
    </row>
    <row r="534" spans="1:25" ht="24" customHeight="1">
      <c r="A534" s="37"/>
      <c r="B534" s="38"/>
      <c r="C534" s="83">
        <f>SUM(C533:C533)</f>
        <v>21</v>
      </c>
      <c r="D534" s="83"/>
      <c r="E534" s="62"/>
      <c r="F534" s="70">
        <f>SUM(F533:F533)</f>
        <v>29043</v>
      </c>
      <c r="G534" s="70"/>
      <c r="H534" s="62">
        <f aca="true" t="shared" si="151" ref="H534:Y534">SUM(H533:H533)</f>
        <v>0</v>
      </c>
      <c r="I534" s="62">
        <f t="shared" si="151"/>
        <v>0</v>
      </c>
      <c r="J534" s="62">
        <f t="shared" si="151"/>
        <v>0</v>
      </c>
      <c r="K534" s="62">
        <f t="shared" si="151"/>
        <v>0</v>
      </c>
      <c r="L534" s="62">
        <f t="shared" si="151"/>
        <v>0</v>
      </c>
      <c r="M534" s="62">
        <f t="shared" si="151"/>
        <v>0</v>
      </c>
      <c r="N534" s="62">
        <f t="shared" si="151"/>
        <v>0</v>
      </c>
      <c r="O534" s="62">
        <f t="shared" si="151"/>
        <v>0</v>
      </c>
      <c r="P534" s="62">
        <f t="shared" si="151"/>
        <v>0</v>
      </c>
      <c r="Q534" s="62">
        <f t="shared" si="151"/>
        <v>0</v>
      </c>
      <c r="R534" s="62">
        <f t="shared" si="151"/>
        <v>0</v>
      </c>
      <c r="S534" s="62">
        <f t="shared" si="151"/>
        <v>0</v>
      </c>
      <c r="T534" s="62">
        <f t="shared" si="151"/>
        <v>0</v>
      </c>
      <c r="U534" s="62">
        <f t="shared" si="151"/>
        <v>0</v>
      </c>
      <c r="V534" s="62">
        <f t="shared" si="151"/>
        <v>0</v>
      </c>
      <c r="W534" s="62">
        <f t="shared" si="151"/>
        <v>0</v>
      </c>
      <c r="X534" s="70">
        <f t="shared" si="151"/>
        <v>29043</v>
      </c>
      <c r="Y534" s="70">
        <f t="shared" si="151"/>
        <v>348516</v>
      </c>
    </row>
    <row r="535" spans="1:25" ht="20.25" customHeight="1">
      <c r="A535" s="287" t="s">
        <v>306</v>
      </c>
      <c r="B535" s="288"/>
      <c r="C535" s="288"/>
      <c r="D535" s="288"/>
      <c r="E535" s="288"/>
      <c r="F535" s="288"/>
      <c r="G535" s="288"/>
      <c r="H535" s="288"/>
      <c r="I535" s="288"/>
      <c r="J535" s="288"/>
      <c r="K535" s="288"/>
      <c r="L535" s="288"/>
      <c r="M535" s="288"/>
      <c r="N535" s="288"/>
      <c r="O535" s="288"/>
      <c r="P535" s="288"/>
      <c r="Q535" s="288"/>
      <c r="R535" s="288"/>
      <c r="S535" s="288"/>
      <c r="T535" s="288"/>
      <c r="U535" s="288"/>
      <c r="V535" s="288"/>
      <c r="W535" s="288"/>
      <c r="X535" s="288"/>
      <c r="Y535" s="289"/>
    </row>
    <row r="536" spans="1:25" ht="24" customHeight="1">
      <c r="A536" s="37">
        <v>1</v>
      </c>
      <c r="B536" s="38" t="s">
        <v>307</v>
      </c>
      <c r="C536" s="37">
        <v>1</v>
      </c>
      <c r="D536" s="62">
        <v>5</v>
      </c>
      <c r="E536" s="62">
        <v>1514</v>
      </c>
      <c r="F536" s="80">
        <f aca="true" t="shared" si="152" ref="F536:F541">E536*C536</f>
        <v>1514</v>
      </c>
      <c r="G536" s="80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>
        <f aca="true" t="shared" si="153" ref="W536:W541">SUM(H536:V536)</f>
        <v>0</v>
      </c>
      <c r="X536" s="76">
        <f aca="true" t="shared" si="154" ref="X536:X541">C536*E536+W536</f>
        <v>1514</v>
      </c>
      <c r="Y536" s="80">
        <f aca="true" t="shared" si="155" ref="Y536:Y541">X536*12</f>
        <v>18168</v>
      </c>
    </row>
    <row r="537" spans="1:25" ht="24" customHeight="1">
      <c r="A537" s="37">
        <v>2</v>
      </c>
      <c r="B537" s="38" t="s">
        <v>308</v>
      </c>
      <c r="C537" s="37">
        <v>1</v>
      </c>
      <c r="D537" s="62">
        <v>4</v>
      </c>
      <c r="E537" s="62">
        <v>1414</v>
      </c>
      <c r="F537" s="80">
        <f t="shared" si="152"/>
        <v>1414</v>
      </c>
      <c r="G537" s="80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>
        <f t="shared" si="153"/>
        <v>0</v>
      </c>
      <c r="X537" s="76">
        <f t="shared" si="154"/>
        <v>1414</v>
      </c>
      <c r="Y537" s="80">
        <f t="shared" si="155"/>
        <v>16968</v>
      </c>
    </row>
    <row r="538" spans="1:25" ht="18.75" customHeight="1">
      <c r="A538" s="37">
        <v>3</v>
      </c>
      <c r="B538" s="38" t="s">
        <v>291</v>
      </c>
      <c r="C538" s="37">
        <v>1</v>
      </c>
      <c r="D538" s="62">
        <v>2</v>
      </c>
      <c r="E538" s="62">
        <v>1383</v>
      </c>
      <c r="F538" s="80">
        <f t="shared" si="152"/>
        <v>1383</v>
      </c>
      <c r="G538" s="80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>
        <f>ROUNDUP(F538*10%,0)</f>
        <v>139</v>
      </c>
      <c r="U538" s="62"/>
      <c r="V538" s="62"/>
      <c r="W538" s="62">
        <f t="shared" si="153"/>
        <v>139</v>
      </c>
      <c r="X538" s="76">
        <f t="shared" si="154"/>
        <v>1522</v>
      </c>
      <c r="Y538" s="80">
        <f t="shared" si="155"/>
        <v>18264</v>
      </c>
    </row>
    <row r="539" spans="1:25" ht="21" customHeight="1">
      <c r="A539" s="37">
        <v>4</v>
      </c>
      <c r="B539" s="38" t="s">
        <v>140</v>
      </c>
      <c r="C539" s="37">
        <v>1</v>
      </c>
      <c r="D539" s="62">
        <v>5</v>
      </c>
      <c r="E539" s="62">
        <v>1514</v>
      </c>
      <c r="F539" s="80">
        <f t="shared" si="152"/>
        <v>1514</v>
      </c>
      <c r="G539" s="80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>
        <f t="shared" si="153"/>
        <v>0</v>
      </c>
      <c r="X539" s="76">
        <f t="shared" si="154"/>
        <v>1514</v>
      </c>
      <c r="Y539" s="80">
        <f t="shared" si="155"/>
        <v>18168</v>
      </c>
    </row>
    <row r="540" spans="1:25" ht="24" customHeight="1">
      <c r="A540" s="37">
        <v>5</v>
      </c>
      <c r="B540" s="38" t="s">
        <v>141</v>
      </c>
      <c r="C540" s="37">
        <v>1</v>
      </c>
      <c r="D540" s="62">
        <v>4</v>
      </c>
      <c r="E540" s="62">
        <v>1414</v>
      </c>
      <c r="F540" s="80">
        <f t="shared" si="152"/>
        <v>1414</v>
      </c>
      <c r="G540" s="80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>
        <f t="shared" si="153"/>
        <v>0</v>
      </c>
      <c r="X540" s="76">
        <f t="shared" si="154"/>
        <v>1414</v>
      </c>
      <c r="Y540" s="80">
        <f t="shared" si="155"/>
        <v>16968</v>
      </c>
    </row>
    <row r="541" spans="1:25" ht="36.75" customHeight="1">
      <c r="A541" s="37">
        <v>6</v>
      </c>
      <c r="B541" s="44" t="s">
        <v>309</v>
      </c>
      <c r="C541" s="37">
        <v>1</v>
      </c>
      <c r="D541" s="62">
        <v>3</v>
      </c>
      <c r="E541" s="62">
        <v>1393</v>
      </c>
      <c r="F541" s="80">
        <f t="shared" si="152"/>
        <v>1393</v>
      </c>
      <c r="G541" s="80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>
        <f t="shared" si="153"/>
        <v>0</v>
      </c>
      <c r="X541" s="76">
        <f t="shared" si="154"/>
        <v>1393</v>
      </c>
      <c r="Y541" s="80">
        <f t="shared" si="155"/>
        <v>16716</v>
      </c>
    </row>
    <row r="542" spans="1:25" ht="24" customHeight="1">
      <c r="A542" s="37"/>
      <c r="B542" s="38"/>
      <c r="C542" s="83">
        <f>SUM(C536:C541)</f>
        <v>6</v>
      </c>
      <c r="D542" s="83"/>
      <c r="E542" s="62"/>
      <c r="F542" s="70">
        <f>SUM(F536:F541)</f>
        <v>8632</v>
      </c>
      <c r="G542" s="70"/>
      <c r="H542" s="71">
        <f aca="true" t="shared" si="156" ref="H542:Y542">SUM(H536:H541)</f>
        <v>0</v>
      </c>
      <c r="I542" s="71">
        <f t="shared" si="156"/>
        <v>0</v>
      </c>
      <c r="J542" s="71">
        <f t="shared" si="156"/>
        <v>0</v>
      </c>
      <c r="K542" s="71">
        <f t="shared" si="156"/>
        <v>0</v>
      </c>
      <c r="L542" s="71">
        <f t="shared" si="156"/>
        <v>0</v>
      </c>
      <c r="M542" s="71">
        <f t="shared" si="156"/>
        <v>0</v>
      </c>
      <c r="N542" s="71">
        <f t="shared" si="156"/>
        <v>0</v>
      </c>
      <c r="O542" s="71">
        <f t="shared" si="156"/>
        <v>0</v>
      </c>
      <c r="P542" s="71">
        <f t="shared" si="156"/>
        <v>0</v>
      </c>
      <c r="Q542" s="71">
        <f t="shared" si="156"/>
        <v>0</v>
      </c>
      <c r="R542" s="71">
        <f t="shared" si="156"/>
        <v>0</v>
      </c>
      <c r="S542" s="71">
        <f t="shared" si="156"/>
        <v>0</v>
      </c>
      <c r="T542" s="71">
        <f t="shared" si="156"/>
        <v>139</v>
      </c>
      <c r="U542" s="71">
        <f t="shared" si="156"/>
        <v>0</v>
      </c>
      <c r="V542" s="71">
        <f t="shared" si="156"/>
        <v>0</v>
      </c>
      <c r="W542" s="71">
        <f t="shared" si="156"/>
        <v>139</v>
      </c>
      <c r="X542" s="70">
        <f t="shared" si="156"/>
        <v>8771</v>
      </c>
      <c r="Y542" s="70">
        <f t="shared" si="156"/>
        <v>105252</v>
      </c>
    </row>
    <row r="543" spans="1:25" ht="17.25" customHeight="1">
      <c r="A543" s="290" t="s">
        <v>310</v>
      </c>
      <c r="B543" s="291"/>
      <c r="C543" s="291"/>
      <c r="D543" s="291"/>
      <c r="E543" s="291"/>
      <c r="F543" s="291"/>
      <c r="G543" s="291"/>
      <c r="H543" s="291"/>
      <c r="I543" s="291"/>
      <c r="J543" s="291"/>
      <c r="K543" s="291"/>
      <c r="L543" s="291"/>
      <c r="M543" s="291"/>
      <c r="N543" s="291"/>
      <c r="O543" s="291"/>
      <c r="P543" s="291"/>
      <c r="Q543" s="291"/>
      <c r="R543" s="291"/>
      <c r="S543" s="291"/>
      <c r="T543" s="291"/>
      <c r="U543" s="291"/>
      <c r="V543" s="291"/>
      <c r="W543" s="291"/>
      <c r="X543" s="291"/>
      <c r="Y543" s="292"/>
    </row>
    <row r="544" spans="1:25" ht="19.5" customHeight="1">
      <c r="A544" s="63">
        <v>1</v>
      </c>
      <c r="B544" s="63" t="s">
        <v>185</v>
      </c>
      <c r="C544" s="65">
        <v>1</v>
      </c>
      <c r="D544" s="65">
        <v>11</v>
      </c>
      <c r="E544" s="40">
        <v>2193</v>
      </c>
      <c r="F544" s="41">
        <f aca="true" t="shared" si="157" ref="F544:F579">E544*C544</f>
        <v>2193</v>
      </c>
      <c r="G544" s="41"/>
      <c r="H544" s="43"/>
      <c r="I544" s="43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3">
        <f aca="true" t="shared" si="158" ref="W544:W579">SUM(H544:V544)</f>
        <v>0</v>
      </c>
      <c r="X544" s="41">
        <f>C544*E544+W544</f>
        <v>2193</v>
      </c>
      <c r="Y544" s="80">
        <f aca="true" t="shared" si="159" ref="Y544:Y579">X544*12</f>
        <v>26316</v>
      </c>
    </row>
    <row r="545" spans="1:25" ht="16.5" customHeight="1">
      <c r="A545" s="63">
        <v>2</v>
      </c>
      <c r="B545" s="63" t="s">
        <v>311</v>
      </c>
      <c r="C545" s="65">
        <v>2</v>
      </c>
      <c r="D545" s="65"/>
      <c r="E545" s="40">
        <v>1864</v>
      </c>
      <c r="F545" s="41">
        <f t="shared" si="157"/>
        <v>3728</v>
      </c>
      <c r="G545" s="41"/>
      <c r="H545" s="43"/>
      <c r="I545" s="43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3">
        <f t="shared" si="158"/>
        <v>0</v>
      </c>
      <c r="X545" s="41">
        <f>C545*E545+W545</f>
        <v>3728</v>
      </c>
      <c r="Y545" s="80">
        <f t="shared" si="159"/>
        <v>44736</v>
      </c>
    </row>
    <row r="546" spans="1:25" s="2" customFormat="1" ht="16.5" customHeight="1">
      <c r="A546" s="63">
        <v>3</v>
      </c>
      <c r="B546" s="38" t="s">
        <v>134</v>
      </c>
      <c r="C546" s="62">
        <f>11+9+1</f>
        <v>21</v>
      </c>
      <c r="D546" s="62">
        <v>5</v>
      </c>
      <c r="E546" s="37">
        <v>1514</v>
      </c>
      <c r="F546" s="76">
        <f t="shared" si="157"/>
        <v>31794</v>
      </c>
      <c r="G546" s="76"/>
      <c r="H546" s="43"/>
      <c r="I546" s="43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3">
        <f t="shared" si="158"/>
        <v>0</v>
      </c>
      <c r="X546" s="41">
        <f aca="true" t="shared" si="160" ref="X546:X579">F546+W546</f>
        <v>31794</v>
      </c>
      <c r="Y546" s="80">
        <f t="shared" si="159"/>
        <v>381528</v>
      </c>
    </row>
    <row r="547" spans="1:25" ht="15.75" customHeight="1">
      <c r="A547" s="63">
        <v>4</v>
      </c>
      <c r="B547" s="63" t="s">
        <v>312</v>
      </c>
      <c r="C547" s="62">
        <v>1</v>
      </c>
      <c r="D547" s="62">
        <v>7</v>
      </c>
      <c r="E547" s="37">
        <v>1714</v>
      </c>
      <c r="F547" s="80">
        <f t="shared" si="157"/>
        <v>1714</v>
      </c>
      <c r="G547" s="80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43">
        <f t="shared" si="158"/>
        <v>0</v>
      </c>
      <c r="X547" s="41">
        <f t="shared" si="160"/>
        <v>1714</v>
      </c>
      <c r="Y547" s="80">
        <f t="shared" si="159"/>
        <v>20568</v>
      </c>
    </row>
    <row r="548" spans="1:25" ht="25.5" customHeight="1">
      <c r="A548" s="63">
        <v>5</v>
      </c>
      <c r="B548" s="145" t="s">
        <v>313</v>
      </c>
      <c r="C548" s="96">
        <v>1</v>
      </c>
      <c r="D548" s="146">
        <v>5</v>
      </c>
      <c r="E548" s="37">
        <v>1514</v>
      </c>
      <c r="F548" s="80">
        <f t="shared" si="157"/>
        <v>1514</v>
      </c>
      <c r="G548" s="147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43">
        <f t="shared" si="158"/>
        <v>0</v>
      </c>
      <c r="X548" s="41">
        <f t="shared" si="160"/>
        <v>1514</v>
      </c>
      <c r="Y548" s="80">
        <f t="shared" si="159"/>
        <v>18168</v>
      </c>
    </row>
    <row r="549" spans="1:25" ht="16.5" customHeight="1">
      <c r="A549" s="63">
        <v>6</v>
      </c>
      <c r="B549" s="145" t="s">
        <v>314</v>
      </c>
      <c r="C549" s="96">
        <f>4+9</f>
        <v>13</v>
      </c>
      <c r="D549" s="146">
        <v>7</v>
      </c>
      <c r="E549" s="37">
        <v>1714</v>
      </c>
      <c r="F549" s="80">
        <f t="shared" si="157"/>
        <v>22282</v>
      </c>
      <c r="G549" s="147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43">
        <f t="shared" si="158"/>
        <v>0</v>
      </c>
      <c r="X549" s="41">
        <f t="shared" si="160"/>
        <v>22282</v>
      </c>
      <c r="Y549" s="80">
        <f t="shared" si="159"/>
        <v>267384</v>
      </c>
    </row>
    <row r="550" spans="1:25" ht="16.5" customHeight="1">
      <c r="A550" s="63">
        <v>7</v>
      </c>
      <c r="B550" s="145" t="s">
        <v>315</v>
      </c>
      <c r="C550" s="96">
        <f>10+5</f>
        <v>15</v>
      </c>
      <c r="D550" s="146">
        <v>5</v>
      </c>
      <c r="E550" s="37">
        <v>1514</v>
      </c>
      <c r="F550" s="80">
        <f t="shared" si="157"/>
        <v>22710</v>
      </c>
      <c r="G550" s="147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43">
        <f t="shared" si="158"/>
        <v>0</v>
      </c>
      <c r="X550" s="41">
        <f t="shared" si="160"/>
        <v>22710</v>
      </c>
      <c r="Y550" s="80">
        <f t="shared" si="159"/>
        <v>272520</v>
      </c>
    </row>
    <row r="551" spans="1:25" ht="16.5" customHeight="1">
      <c r="A551" s="63">
        <v>8</v>
      </c>
      <c r="B551" s="63" t="s">
        <v>120</v>
      </c>
      <c r="C551" s="62">
        <v>3</v>
      </c>
      <c r="D551" s="62">
        <v>8</v>
      </c>
      <c r="E551" s="37">
        <v>1825</v>
      </c>
      <c r="F551" s="76">
        <f t="shared" si="157"/>
        <v>5475</v>
      </c>
      <c r="G551" s="76"/>
      <c r="H551" s="43"/>
      <c r="I551" s="43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3">
        <f t="shared" si="158"/>
        <v>0</v>
      </c>
      <c r="X551" s="41">
        <f t="shared" si="160"/>
        <v>5475</v>
      </c>
      <c r="Y551" s="80">
        <f t="shared" si="159"/>
        <v>65700</v>
      </c>
    </row>
    <row r="552" spans="1:25" ht="16.5" customHeight="1">
      <c r="A552" s="63">
        <v>9</v>
      </c>
      <c r="B552" s="63" t="s">
        <v>65</v>
      </c>
      <c r="C552" s="62">
        <v>1</v>
      </c>
      <c r="D552" s="62">
        <v>9</v>
      </c>
      <c r="E552" s="62">
        <v>1925</v>
      </c>
      <c r="F552" s="80">
        <f t="shared" si="157"/>
        <v>1925</v>
      </c>
      <c r="G552" s="76"/>
      <c r="H552" s="43"/>
      <c r="I552" s="43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3">
        <f t="shared" si="158"/>
        <v>0</v>
      </c>
      <c r="X552" s="41">
        <f t="shared" si="160"/>
        <v>1925</v>
      </c>
      <c r="Y552" s="80">
        <f t="shared" si="159"/>
        <v>23100</v>
      </c>
    </row>
    <row r="553" spans="1:25" ht="16.5" customHeight="1">
      <c r="A553" s="63">
        <v>10</v>
      </c>
      <c r="B553" s="63" t="s">
        <v>66</v>
      </c>
      <c r="C553" s="62">
        <v>1</v>
      </c>
      <c r="D553" s="62">
        <v>8</v>
      </c>
      <c r="E553" s="37">
        <v>1825</v>
      </c>
      <c r="F553" s="76">
        <f t="shared" si="157"/>
        <v>1825</v>
      </c>
      <c r="G553" s="76"/>
      <c r="H553" s="43"/>
      <c r="I553" s="43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3">
        <f t="shared" si="158"/>
        <v>0</v>
      </c>
      <c r="X553" s="41">
        <f t="shared" si="160"/>
        <v>1825</v>
      </c>
      <c r="Y553" s="80">
        <f t="shared" si="159"/>
        <v>21900</v>
      </c>
    </row>
    <row r="554" spans="1:25" ht="16.5" customHeight="1">
      <c r="A554" s="63">
        <v>11</v>
      </c>
      <c r="B554" s="63" t="s">
        <v>316</v>
      </c>
      <c r="C554" s="62">
        <v>1</v>
      </c>
      <c r="D554" s="62">
        <v>7</v>
      </c>
      <c r="E554" s="37">
        <v>1714</v>
      </c>
      <c r="F554" s="76">
        <f t="shared" si="157"/>
        <v>1714</v>
      </c>
      <c r="G554" s="76"/>
      <c r="H554" s="43"/>
      <c r="I554" s="43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3">
        <f t="shared" si="158"/>
        <v>0</v>
      </c>
      <c r="X554" s="41">
        <f t="shared" si="160"/>
        <v>1714</v>
      </c>
      <c r="Y554" s="80">
        <f t="shared" si="159"/>
        <v>20568</v>
      </c>
    </row>
    <row r="555" spans="1:25" ht="16.5" customHeight="1">
      <c r="A555" s="63">
        <v>12</v>
      </c>
      <c r="B555" s="145" t="s">
        <v>121</v>
      </c>
      <c r="C555" s="96">
        <v>1</v>
      </c>
      <c r="D555" s="146">
        <v>7</v>
      </c>
      <c r="E555" s="37">
        <v>1714</v>
      </c>
      <c r="F555" s="80">
        <f t="shared" si="157"/>
        <v>1714</v>
      </c>
      <c r="G555" s="147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43">
        <f t="shared" si="158"/>
        <v>0</v>
      </c>
      <c r="X555" s="41">
        <f t="shared" si="160"/>
        <v>1714</v>
      </c>
      <c r="Y555" s="80">
        <f t="shared" si="159"/>
        <v>20568</v>
      </c>
    </row>
    <row r="556" spans="1:25" ht="16.5" customHeight="1">
      <c r="A556" s="63">
        <v>13</v>
      </c>
      <c r="B556" s="63" t="s">
        <v>92</v>
      </c>
      <c r="C556" s="62">
        <v>1</v>
      </c>
      <c r="D556" s="62">
        <v>5</v>
      </c>
      <c r="E556" s="37">
        <v>1514</v>
      </c>
      <c r="F556" s="76">
        <f t="shared" si="157"/>
        <v>1514</v>
      </c>
      <c r="G556" s="76"/>
      <c r="H556" s="43"/>
      <c r="I556" s="43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3">
        <f t="shared" si="158"/>
        <v>0</v>
      </c>
      <c r="X556" s="41">
        <f t="shared" si="160"/>
        <v>1514</v>
      </c>
      <c r="Y556" s="80">
        <f t="shared" si="159"/>
        <v>18168</v>
      </c>
    </row>
    <row r="557" spans="1:25" ht="16.5" customHeight="1">
      <c r="A557" s="63">
        <v>14</v>
      </c>
      <c r="B557" s="63" t="s">
        <v>68</v>
      </c>
      <c r="C557" s="62">
        <f>3+2</f>
        <v>5</v>
      </c>
      <c r="D557" s="62">
        <v>7</v>
      </c>
      <c r="E557" s="62">
        <v>1714</v>
      </c>
      <c r="F557" s="80">
        <f t="shared" si="157"/>
        <v>8570</v>
      </c>
      <c r="G557" s="80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43">
        <f t="shared" si="158"/>
        <v>0</v>
      </c>
      <c r="X557" s="41">
        <f t="shared" si="160"/>
        <v>8570</v>
      </c>
      <c r="Y557" s="80">
        <f t="shared" si="159"/>
        <v>102840</v>
      </c>
    </row>
    <row r="558" spans="1:25" ht="16.5" customHeight="1">
      <c r="A558" s="63">
        <v>15</v>
      </c>
      <c r="B558" s="63" t="s">
        <v>69</v>
      </c>
      <c r="C558" s="96">
        <v>1</v>
      </c>
      <c r="D558" s="96">
        <v>6</v>
      </c>
      <c r="E558" s="62">
        <v>1614</v>
      </c>
      <c r="F558" s="80">
        <f t="shared" si="157"/>
        <v>1614</v>
      </c>
      <c r="G558" s="147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43">
        <f t="shared" si="158"/>
        <v>0</v>
      </c>
      <c r="X558" s="41">
        <f t="shared" si="160"/>
        <v>1614</v>
      </c>
      <c r="Y558" s="80">
        <f t="shared" si="159"/>
        <v>19368</v>
      </c>
    </row>
    <row r="559" spans="1:25" ht="39.75" customHeight="1">
      <c r="A559" s="63">
        <v>16</v>
      </c>
      <c r="B559" s="145" t="s">
        <v>317</v>
      </c>
      <c r="C559" s="96">
        <f>3+2+1</f>
        <v>6</v>
      </c>
      <c r="D559" s="146">
        <v>5</v>
      </c>
      <c r="E559" s="37">
        <v>1514</v>
      </c>
      <c r="F559" s="80">
        <f t="shared" si="157"/>
        <v>9084</v>
      </c>
      <c r="G559" s="147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43">
        <f t="shared" si="158"/>
        <v>0</v>
      </c>
      <c r="X559" s="41">
        <f t="shared" si="160"/>
        <v>9084</v>
      </c>
      <c r="Y559" s="80">
        <f t="shared" si="159"/>
        <v>109008</v>
      </c>
    </row>
    <row r="560" spans="1:25" ht="24" customHeight="1">
      <c r="A560" s="63">
        <v>17</v>
      </c>
      <c r="B560" s="108" t="s">
        <v>318</v>
      </c>
      <c r="C560" s="96">
        <f>11+21-1</f>
        <v>31</v>
      </c>
      <c r="D560" s="146">
        <v>6</v>
      </c>
      <c r="E560" s="37">
        <v>1614</v>
      </c>
      <c r="F560" s="80">
        <f t="shared" si="157"/>
        <v>50034</v>
      </c>
      <c r="G560" s="147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43">
        <f t="shared" si="158"/>
        <v>0</v>
      </c>
      <c r="X560" s="41">
        <f t="shared" si="160"/>
        <v>50034</v>
      </c>
      <c r="Y560" s="80">
        <f t="shared" si="159"/>
        <v>600408</v>
      </c>
    </row>
    <row r="561" spans="1:25" ht="17.25" customHeight="1">
      <c r="A561" s="63">
        <v>18</v>
      </c>
      <c r="B561" s="108" t="s">
        <v>319</v>
      </c>
      <c r="C561" s="96">
        <f>72-1</f>
        <v>71</v>
      </c>
      <c r="D561" s="146">
        <v>3</v>
      </c>
      <c r="E561" s="37">
        <v>1393</v>
      </c>
      <c r="F561" s="80">
        <f t="shared" si="157"/>
        <v>98903</v>
      </c>
      <c r="G561" s="147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43">
        <f t="shared" si="158"/>
        <v>0</v>
      </c>
      <c r="X561" s="41">
        <f t="shared" si="160"/>
        <v>98903</v>
      </c>
      <c r="Y561" s="80">
        <f t="shared" si="159"/>
        <v>1186836</v>
      </c>
    </row>
    <row r="562" spans="1:25" ht="17.25" customHeight="1">
      <c r="A562" s="63">
        <v>19</v>
      </c>
      <c r="B562" s="63" t="s">
        <v>320</v>
      </c>
      <c r="C562" s="62">
        <f>6+4+15</f>
        <v>25</v>
      </c>
      <c r="D562" s="62">
        <v>3</v>
      </c>
      <c r="E562" s="37">
        <v>1393</v>
      </c>
      <c r="F562" s="80">
        <f t="shared" si="157"/>
        <v>34825</v>
      </c>
      <c r="G562" s="147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43">
        <f t="shared" si="158"/>
        <v>0</v>
      </c>
      <c r="X562" s="41">
        <f t="shared" si="160"/>
        <v>34825</v>
      </c>
      <c r="Y562" s="80">
        <f t="shared" si="159"/>
        <v>417900</v>
      </c>
    </row>
    <row r="563" spans="1:25" ht="17.25" customHeight="1">
      <c r="A563" s="63">
        <v>20</v>
      </c>
      <c r="B563" s="63" t="s">
        <v>291</v>
      </c>
      <c r="C563" s="62">
        <f>35+3+2+75-6+1</f>
        <v>110</v>
      </c>
      <c r="D563" s="62">
        <v>2</v>
      </c>
      <c r="E563" s="37">
        <v>1383</v>
      </c>
      <c r="F563" s="80">
        <f t="shared" si="157"/>
        <v>152130</v>
      </c>
      <c r="G563" s="147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>
        <f>ROUNDUP(F563*10%,0)</f>
        <v>15213</v>
      </c>
      <c r="U563" s="96"/>
      <c r="V563" s="96"/>
      <c r="W563" s="43">
        <f t="shared" si="158"/>
        <v>15213</v>
      </c>
      <c r="X563" s="41">
        <f t="shared" si="160"/>
        <v>167343</v>
      </c>
      <c r="Y563" s="80">
        <f t="shared" si="159"/>
        <v>2008116</v>
      </c>
    </row>
    <row r="564" spans="1:25" ht="17.25" customHeight="1">
      <c r="A564" s="63">
        <v>21</v>
      </c>
      <c r="B564" s="63" t="s">
        <v>290</v>
      </c>
      <c r="C564" s="62">
        <f>10+2-1+5</f>
        <v>16</v>
      </c>
      <c r="D564" s="62">
        <v>2</v>
      </c>
      <c r="E564" s="37">
        <v>1383</v>
      </c>
      <c r="F564" s="80">
        <f t="shared" si="157"/>
        <v>22128</v>
      </c>
      <c r="G564" s="147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43">
        <f t="shared" si="158"/>
        <v>0</v>
      </c>
      <c r="X564" s="41">
        <f t="shared" si="160"/>
        <v>22128</v>
      </c>
      <c r="Y564" s="80">
        <f t="shared" si="159"/>
        <v>265536</v>
      </c>
    </row>
    <row r="565" spans="1:25" ht="17.25" customHeight="1">
      <c r="A565" s="63">
        <v>22</v>
      </c>
      <c r="B565" s="63" t="s">
        <v>144</v>
      </c>
      <c r="C565" s="62">
        <f>6+6+1</f>
        <v>13</v>
      </c>
      <c r="D565" s="62">
        <v>1</v>
      </c>
      <c r="E565" s="37">
        <v>1378</v>
      </c>
      <c r="F565" s="80">
        <f t="shared" si="157"/>
        <v>17914</v>
      </c>
      <c r="G565" s="147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43">
        <f t="shared" si="158"/>
        <v>0</v>
      </c>
      <c r="X565" s="41">
        <f t="shared" si="160"/>
        <v>17914</v>
      </c>
      <c r="Y565" s="80">
        <f t="shared" si="159"/>
        <v>214968</v>
      </c>
    </row>
    <row r="566" spans="1:25" ht="17.25" customHeight="1">
      <c r="A566" s="63">
        <v>23</v>
      </c>
      <c r="B566" s="63" t="s">
        <v>321</v>
      </c>
      <c r="C566" s="62">
        <f>14-11</f>
        <v>3</v>
      </c>
      <c r="D566" s="62">
        <v>5</v>
      </c>
      <c r="E566" s="37">
        <v>1514</v>
      </c>
      <c r="F566" s="80">
        <f t="shared" si="157"/>
        <v>4542</v>
      </c>
      <c r="G566" s="147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43">
        <f t="shared" si="158"/>
        <v>0</v>
      </c>
      <c r="X566" s="41">
        <f t="shared" si="160"/>
        <v>4542</v>
      </c>
      <c r="Y566" s="80">
        <f t="shared" si="159"/>
        <v>54504</v>
      </c>
    </row>
    <row r="567" spans="1:25" ht="19.5" customHeight="1">
      <c r="A567" s="63">
        <v>24</v>
      </c>
      <c r="B567" s="63" t="s">
        <v>322</v>
      </c>
      <c r="C567" s="62">
        <f>5-3</f>
        <v>2</v>
      </c>
      <c r="D567" s="62">
        <v>4</v>
      </c>
      <c r="E567" s="37">
        <v>1414</v>
      </c>
      <c r="F567" s="80">
        <f t="shared" si="157"/>
        <v>2828</v>
      </c>
      <c r="G567" s="147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43">
        <f t="shared" si="158"/>
        <v>0</v>
      </c>
      <c r="X567" s="41">
        <f t="shared" si="160"/>
        <v>2828</v>
      </c>
      <c r="Y567" s="80">
        <f t="shared" si="159"/>
        <v>33936</v>
      </c>
    </row>
    <row r="568" spans="1:25" ht="19.5" customHeight="1">
      <c r="A568" s="63">
        <v>25</v>
      </c>
      <c r="B568" s="63" t="s">
        <v>323</v>
      </c>
      <c r="C568" s="62">
        <f>6-1</f>
        <v>5</v>
      </c>
      <c r="D568" s="62">
        <v>3</v>
      </c>
      <c r="E568" s="37">
        <v>1393</v>
      </c>
      <c r="F568" s="80">
        <f t="shared" si="157"/>
        <v>6965</v>
      </c>
      <c r="G568" s="147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43">
        <f t="shared" si="158"/>
        <v>0</v>
      </c>
      <c r="X568" s="41">
        <f t="shared" si="160"/>
        <v>6965</v>
      </c>
      <c r="Y568" s="80">
        <f t="shared" si="159"/>
        <v>83580</v>
      </c>
    </row>
    <row r="569" spans="1:25" ht="19.5" customHeight="1">
      <c r="A569" s="63">
        <v>26</v>
      </c>
      <c r="B569" s="63" t="s">
        <v>324</v>
      </c>
      <c r="C569" s="62">
        <v>3</v>
      </c>
      <c r="D569" s="62">
        <v>3</v>
      </c>
      <c r="E569" s="37">
        <v>1393</v>
      </c>
      <c r="F569" s="80">
        <f t="shared" si="157"/>
        <v>4179</v>
      </c>
      <c r="G569" s="147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43">
        <f t="shared" si="158"/>
        <v>0</v>
      </c>
      <c r="X569" s="41">
        <f t="shared" si="160"/>
        <v>4179</v>
      </c>
      <c r="Y569" s="80">
        <f t="shared" si="159"/>
        <v>50148</v>
      </c>
    </row>
    <row r="570" spans="1:25" ht="19.5" customHeight="1">
      <c r="A570" s="63">
        <v>27</v>
      </c>
      <c r="B570" s="63" t="s">
        <v>325</v>
      </c>
      <c r="C570" s="62">
        <v>5</v>
      </c>
      <c r="D570" s="62">
        <v>2</v>
      </c>
      <c r="E570" s="37">
        <v>1383</v>
      </c>
      <c r="F570" s="80">
        <f t="shared" si="157"/>
        <v>6915</v>
      </c>
      <c r="G570" s="147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43">
        <f t="shared" si="158"/>
        <v>0</v>
      </c>
      <c r="X570" s="41">
        <f t="shared" si="160"/>
        <v>6915</v>
      </c>
      <c r="Y570" s="80">
        <f t="shared" si="159"/>
        <v>82980</v>
      </c>
    </row>
    <row r="571" spans="1:25" ht="19.5" customHeight="1">
      <c r="A571" s="63">
        <v>28</v>
      </c>
      <c r="B571" s="63" t="s">
        <v>149</v>
      </c>
      <c r="C571" s="62">
        <f>12-7</f>
        <v>5</v>
      </c>
      <c r="D571" s="62">
        <v>5</v>
      </c>
      <c r="E571" s="37">
        <v>1514</v>
      </c>
      <c r="F571" s="80">
        <f t="shared" si="157"/>
        <v>7570</v>
      </c>
      <c r="G571" s="147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43">
        <f t="shared" si="158"/>
        <v>0</v>
      </c>
      <c r="X571" s="41">
        <f t="shared" si="160"/>
        <v>7570</v>
      </c>
      <c r="Y571" s="80">
        <f t="shared" si="159"/>
        <v>90840</v>
      </c>
    </row>
    <row r="572" spans="1:25" ht="19.5" customHeight="1">
      <c r="A572" s="63">
        <v>29</v>
      </c>
      <c r="B572" s="63" t="s">
        <v>154</v>
      </c>
      <c r="C572" s="62">
        <v>9</v>
      </c>
      <c r="D572" s="62">
        <v>4</v>
      </c>
      <c r="E572" s="37">
        <v>1414</v>
      </c>
      <c r="F572" s="80">
        <f t="shared" si="157"/>
        <v>12726</v>
      </c>
      <c r="G572" s="147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43">
        <f t="shared" si="158"/>
        <v>0</v>
      </c>
      <c r="X572" s="41">
        <f t="shared" si="160"/>
        <v>12726</v>
      </c>
      <c r="Y572" s="80">
        <f t="shared" si="159"/>
        <v>152712</v>
      </c>
    </row>
    <row r="573" spans="1:25" ht="19.5" customHeight="1">
      <c r="A573" s="63">
        <v>30</v>
      </c>
      <c r="B573" s="63" t="s">
        <v>326</v>
      </c>
      <c r="C573" s="62">
        <v>3</v>
      </c>
      <c r="D573" s="62">
        <v>3</v>
      </c>
      <c r="E573" s="37">
        <v>1393</v>
      </c>
      <c r="F573" s="80">
        <f t="shared" si="157"/>
        <v>4179</v>
      </c>
      <c r="G573" s="147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43">
        <f t="shared" si="158"/>
        <v>0</v>
      </c>
      <c r="X573" s="41">
        <f t="shared" si="160"/>
        <v>4179</v>
      </c>
      <c r="Y573" s="80">
        <f t="shared" si="159"/>
        <v>50148</v>
      </c>
    </row>
    <row r="574" spans="1:25" ht="19.5" customHeight="1">
      <c r="A574" s="63">
        <v>31</v>
      </c>
      <c r="B574" s="63" t="s">
        <v>179</v>
      </c>
      <c r="C574" s="62">
        <v>2</v>
      </c>
      <c r="D574" s="62">
        <v>3</v>
      </c>
      <c r="E574" s="37">
        <v>1393</v>
      </c>
      <c r="F574" s="80">
        <f t="shared" si="157"/>
        <v>2786</v>
      </c>
      <c r="G574" s="147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43">
        <f t="shared" si="158"/>
        <v>0</v>
      </c>
      <c r="X574" s="41">
        <f t="shared" si="160"/>
        <v>2786</v>
      </c>
      <c r="Y574" s="80">
        <f t="shared" si="159"/>
        <v>33432</v>
      </c>
    </row>
    <row r="575" spans="1:25" ht="19.5" customHeight="1">
      <c r="A575" s="63">
        <v>32</v>
      </c>
      <c r="B575" s="63" t="s">
        <v>180</v>
      </c>
      <c r="C575" s="62">
        <v>2</v>
      </c>
      <c r="D575" s="62">
        <v>2</v>
      </c>
      <c r="E575" s="37">
        <v>1383</v>
      </c>
      <c r="F575" s="80">
        <f t="shared" si="157"/>
        <v>2766</v>
      </c>
      <c r="G575" s="147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43">
        <f t="shared" si="158"/>
        <v>0</v>
      </c>
      <c r="X575" s="41">
        <f t="shared" si="160"/>
        <v>2766</v>
      </c>
      <c r="Y575" s="80">
        <f t="shared" si="159"/>
        <v>33192</v>
      </c>
    </row>
    <row r="576" spans="1:25" ht="22.5" customHeight="1">
      <c r="A576" s="63">
        <v>33</v>
      </c>
      <c r="B576" s="108" t="s">
        <v>327</v>
      </c>
      <c r="C576" s="62">
        <v>1</v>
      </c>
      <c r="D576" s="112">
        <v>2</v>
      </c>
      <c r="E576" s="37">
        <v>1383</v>
      </c>
      <c r="F576" s="76">
        <f t="shared" si="157"/>
        <v>1383</v>
      </c>
      <c r="G576" s="147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43">
        <f t="shared" si="158"/>
        <v>0</v>
      </c>
      <c r="X576" s="41">
        <f t="shared" si="160"/>
        <v>1383</v>
      </c>
      <c r="Y576" s="80">
        <f t="shared" si="159"/>
        <v>16596</v>
      </c>
    </row>
    <row r="577" spans="1:25" ht="19.5" customHeight="1">
      <c r="A577" s="63">
        <v>34</v>
      </c>
      <c r="B577" s="63" t="s">
        <v>328</v>
      </c>
      <c r="C577" s="62">
        <f>5+2.5-1.5</f>
        <v>6</v>
      </c>
      <c r="D577" s="62">
        <v>1</v>
      </c>
      <c r="E577" s="37">
        <v>1378</v>
      </c>
      <c r="F577" s="76">
        <f t="shared" si="157"/>
        <v>8268</v>
      </c>
      <c r="G577" s="76"/>
      <c r="H577" s="43"/>
      <c r="I577" s="43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3">
        <f t="shared" si="158"/>
        <v>0</v>
      </c>
      <c r="X577" s="41">
        <f t="shared" si="160"/>
        <v>8268</v>
      </c>
      <c r="Y577" s="80">
        <f t="shared" si="159"/>
        <v>99216</v>
      </c>
    </row>
    <row r="578" spans="1:25" ht="19.5" customHeight="1">
      <c r="A578" s="63">
        <v>35</v>
      </c>
      <c r="B578" s="63" t="s">
        <v>139</v>
      </c>
      <c r="C578" s="62">
        <f>14+5-0.5+1</f>
        <v>19.5</v>
      </c>
      <c r="D578" s="62">
        <v>1</v>
      </c>
      <c r="E578" s="37">
        <v>1378</v>
      </c>
      <c r="F578" s="80">
        <f t="shared" si="157"/>
        <v>26871</v>
      </c>
      <c r="G578" s="147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43">
        <f t="shared" si="158"/>
        <v>0</v>
      </c>
      <c r="X578" s="41">
        <f t="shared" si="160"/>
        <v>26871</v>
      </c>
      <c r="Y578" s="80">
        <f t="shared" si="159"/>
        <v>322452</v>
      </c>
    </row>
    <row r="579" spans="1:25" ht="19.5" customHeight="1">
      <c r="A579" s="63">
        <v>36</v>
      </c>
      <c r="B579" s="38" t="s">
        <v>329</v>
      </c>
      <c r="C579" s="62">
        <f>11+4</f>
        <v>15</v>
      </c>
      <c r="D579" s="37">
        <v>3</v>
      </c>
      <c r="E579" s="37">
        <v>1393</v>
      </c>
      <c r="F579" s="80">
        <f t="shared" si="157"/>
        <v>20895</v>
      </c>
      <c r="G579" s="147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43">
        <f t="shared" si="158"/>
        <v>0</v>
      </c>
      <c r="X579" s="41">
        <f t="shared" si="160"/>
        <v>20895</v>
      </c>
      <c r="Y579" s="80">
        <f t="shared" si="159"/>
        <v>250740</v>
      </c>
    </row>
    <row r="580" spans="1:26" ht="19.5" customHeight="1">
      <c r="A580" s="81"/>
      <c r="B580" s="63"/>
      <c r="C580" s="83">
        <f>SUM(C544:C579)</f>
        <v>420.5</v>
      </c>
      <c r="D580" s="83"/>
      <c r="E580" s="83"/>
      <c r="F580" s="84">
        <f aca="true" t="shared" si="161" ref="F580:Z580">SUM(F544:F579)</f>
        <v>608177</v>
      </c>
      <c r="G580" s="84">
        <f t="shared" si="161"/>
        <v>0</v>
      </c>
      <c r="H580" s="83">
        <f t="shared" si="161"/>
        <v>0</v>
      </c>
      <c r="I580" s="83">
        <f t="shared" si="161"/>
        <v>0</v>
      </c>
      <c r="J580" s="83">
        <f t="shared" si="161"/>
        <v>0</v>
      </c>
      <c r="K580" s="83">
        <f t="shared" si="161"/>
        <v>0</v>
      </c>
      <c r="L580" s="83">
        <f t="shared" si="161"/>
        <v>0</v>
      </c>
      <c r="M580" s="83">
        <f t="shared" si="161"/>
        <v>0</v>
      </c>
      <c r="N580" s="83">
        <f t="shared" si="161"/>
        <v>0</v>
      </c>
      <c r="O580" s="83">
        <f t="shared" si="161"/>
        <v>0</v>
      </c>
      <c r="P580" s="83">
        <f t="shared" si="161"/>
        <v>0</v>
      </c>
      <c r="Q580" s="83">
        <f t="shared" si="161"/>
        <v>0</v>
      </c>
      <c r="R580" s="83">
        <f t="shared" si="161"/>
        <v>0</v>
      </c>
      <c r="S580" s="83">
        <f t="shared" si="161"/>
        <v>0</v>
      </c>
      <c r="T580" s="83">
        <f t="shared" si="161"/>
        <v>15213</v>
      </c>
      <c r="U580" s="83">
        <f t="shared" si="161"/>
        <v>0</v>
      </c>
      <c r="V580" s="83">
        <f t="shared" si="161"/>
        <v>0</v>
      </c>
      <c r="W580" s="83">
        <f t="shared" si="161"/>
        <v>15213</v>
      </c>
      <c r="X580" s="84">
        <f t="shared" si="161"/>
        <v>623390</v>
      </c>
      <c r="Y580" s="84">
        <f t="shared" si="161"/>
        <v>7480680</v>
      </c>
      <c r="Z580" s="83">
        <f t="shared" si="161"/>
        <v>0</v>
      </c>
    </row>
    <row r="581" spans="1:25" ht="24.75" customHeight="1">
      <c r="A581" s="290" t="s">
        <v>330</v>
      </c>
      <c r="B581" s="291"/>
      <c r="C581" s="291"/>
      <c r="D581" s="291"/>
      <c r="E581" s="291"/>
      <c r="F581" s="291"/>
      <c r="G581" s="291"/>
      <c r="H581" s="291"/>
      <c r="I581" s="291"/>
      <c r="J581" s="291"/>
      <c r="K581" s="291"/>
      <c r="L581" s="291"/>
      <c r="M581" s="291"/>
      <c r="N581" s="291"/>
      <c r="O581" s="291"/>
      <c r="P581" s="291"/>
      <c r="Q581" s="291"/>
      <c r="R581" s="291"/>
      <c r="S581" s="291"/>
      <c r="T581" s="291"/>
      <c r="U581" s="291"/>
      <c r="V581" s="291"/>
      <c r="W581" s="291"/>
      <c r="X581" s="291"/>
      <c r="Y581" s="292"/>
    </row>
    <row r="582" spans="1:25" ht="24.75" customHeight="1">
      <c r="A582" s="37">
        <v>1</v>
      </c>
      <c r="B582" s="63" t="s">
        <v>331</v>
      </c>
      <c r="C582" s="62">
        <v>1</v>
      </c>
      <c r="D582" s="148">
        <v>7</v>
      </c>
      <c r="E582" s="37">
        <v>1714</v>
      </c>
      <c r="F582" s="76">
        <f aca="true" t="shared" si="162" ref="F582:F589">E582*C582</f>
        <v>1714</v>
      </c>
      <c r="G582" s="76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62">
        <f aca="true" t="shared" si="163" ref="W582:W589">SUM(H582:V582)</f>
        <v>0</v>
      </c>
      <c r="X582" s="80">
        <f aca="true" t="shared" si="164" ref="X582:X589">C582*E582+W582</f>
        <v>1714</v>
      </c>
      <c r="Y582" s="80">
        <f aca="true" t="shared" si="165" ref="Y582:Y589">X582*12</f>
        <v>20568</v>
      </c>
    </row>
    <row r="583" spans="1:25" ht="24.75" customHeight="1">
      <c r="A583" s="37">
        <v>2</v>
      </c>
      <c r="B583" s="63" t="s">
        <v>104</v>
      </c>
      <c r="C583" s="62">
        <v>1</v>
      </c>
      <c r="D583" s="62">
        <v>5</v>
      </c>
      <c r="E583" s="37">
        <v>1514</v>
      </c>
      <c r="F583" s="76">
        <f t="shared" si="162"/>
        <v>1514</v>
      </c>
      <c r="G583" s="76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62">
        <f t="shared" si="163"/>
        <v>0</v>
      </c>
      <c r="X583" s="80">
        <f t="shared" si="164"/>
        <v>1514</v>
      </c>
      <c r="Y583" s="80">
        <f t="shared" si="165"/>
        <v>18168</v>
      </c>
    </row>
    <row r="584" spans="1:25" ht="24.75" customHeight="1">
      <c r="A584" s="37">
        <v>3</v>
      </c>
      <c r="B584" s="63" t="s">
        <v>332</v>
      </c>
      <c r="C584" s="62">
        <v>1</v>
      </c>
      <c r="D584" s="62">
        <v>5</v>
      </c>
      <c r="E584" s="37">
        <v>1514</v>
      </c>
      <c r="F584" s="76">
        <f t="shared" si="162"/>
        <v>1514</v>
      </c>
      <c r="G584" s="76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62">
        <f t="shared" si="163"/>
        <v>0</v>
      </c>
      <c r="X584" s="80">
        <f t="shared" si="164"/>
        <v>1514</v>
      </c>
      <c r="Y584" s="80">
        <f t="shared" si="165"/>
        <v>18168</v>
      </c>
    </row>
    <row r="585" spans="1:25" ht="24.75" customHeight="1">
      <c r="A585" s="37">
        <v>4</v>
      </c>
      <c r="B585" s="93" t="s">
        <v>333</v>
      </c>
      <c r="C585" s="62">
        <v>1</v>
      </c>
      <c r="D585" s="62">
        <v>4</v>
      </c>
      <c r="E585" s="37">
        <v>1414</v>
      </c>
      <c r="F585" s="76">
        <f t="shared" si="162"/>
        <v>1414</v>
      </c>
      <c r="G585" s="76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62">
        <f t="shared" si="163"/>
        <v>0</v>
      </c>
      <c r="X585" s="80">
        <f t="shared" si="164"/>
        <v>1414</v>
      </c>
      <c r="Y585" s="80">
        <f t="shared" si="165"/>
        <v>16968</v>
      </c>
    </row>
    <row r="586" spans="1:25" ht="24.75" customHeight="1">
      <c r="A586" s="37">
        <v>5</v>
      </c>
      <c r="B586" s="63" t="s">
        <v>272</v>
      </c>
      <c r="C586" s="62">
        <f>8-3+1+3</f>
        <v>9</v>
      </c>
      <c r="D586" s="62">
        <v>3</v>
      </c>
      <c r="E586" s="37">
        <v>1393</v>
      </c>
      <c r="F586" s="80">
        <f t="shared" si="162"/>
        <v>12537</v>
      </c>
      <c r="G586" s="80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>
        <f>ROUNDUP(F586*50%,0)</f>
        <v>6269</v>
      </c>
      <c r="W586" s="62">
        <f t="shared" si="163"/>
        <v>6269</v>
      </c>
      <c r="X586" s="80">
        <f t="shared" si="164"/>
        <v>18806</v>
      </c>
      <c r="Y586" s="80">
        <f t="shared" si="165"/>
        <v>225672</v>
      </c>
    </row>
    <row r="587" spans="1:25" ht="24.75" customHeight="1">
      <c r="A587" s="37">
        <v>6</v>
      </c>
      <c r="B587" s="63" t="s">
        <v>272</v>
      </c>
      <c r="C587" s="62">
        <f>10-4</f>
        <v>6</v>
      </c>
      <c r="D587" s="62">
        <v>2</v>
      </c>
      <c r="E587" s="37">
        <v>1383</v>
      </c>
      <c r="F587" s="80">
        <f t="shared" si="162"/>
        <v>8298</v>
      </c>
      <c r="G587" s="80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>
        <f>ROUNDUP(F587*50%,0)</f>
        <v>4149</v>
      </c>
      <c r="W587" s="62">
        <f t="shared" si="163"/>
        <v>4149</v>
      </c>
      <c r="X587" s="80">
        <f t="shared" si="164"/>
        <v>12447</v>
      </c>
      <c r="Y587" s="80">
        <f t="shared" si="165"/>
        <v>149364</v>
      </c>
    </row>
    <row r="588" spans="1:25" ht="29.25" customHeight="1">
      <c r="A588" s="37">
        <v>7</v>
      </c>
      <c r="B588" s="93" t="s">
        <v>334</v>
      </c>
      <c r="C588" s="62">
        <v>1</v>
      </c>
      <c r="D588" s="62">
        <v>2</v>
      </c>
      <c r="E588" s="37">
        <v>1383</v>
      </c>
      <c r="F588" s="80">
        <f t="shared" si="162"/>
        <v>1383</v>
      </c>
      <c r="G588" s="80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>
        <f>ROUNDUP(F588*50%,0)</f>
        <v>692</v>
      </c>
      <c r="W588" s="62">
        <f t="shared" si="163"/>
        <v>692</v>
      </c>
      <c r="X588" s="80">
        <f t="shared" si="164"/>
        <v>2075</v>
      </c>
      <c r="Y588" s="80">
        <f t="shared" si="165"/>
        <v>24900</v>
      </c>
    </row>
    <row r="589" spans="1:25" ht="24.75" customHeight="1">
      <c r="A589" s="37">
        <v>8</v>
      </c>
      <c r="B589" s="63" t="s">
        <v>335</v>
      </c>
      <c r="C589" s="62">
        <v>2</v>
      </c>
      <c r="D589" s="62">
        <v>2</v>
      </c>
      <c r="E589" s="37">
        <v>1383</v>
      </c>
      <c r="F589" s="80">
        <f t="shared" si="162"/>
        <v>2766</v>
      </c>
      <c r="G589" s="80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>
        <f>ROUNDUP(F589*10%,0)</f>
        <v>277</v>
      </c>
      <c r="W589" s="62">
        <f t="shared" si="163"/>
        <v>277</v>
      </c>
      <c r="X589" s="80">
        <f t="shared" si="164"/>
        <v>3043</v>
      </c>
      <c r="Y589" s="80">
        <f t="shared" si="165"/>
        <v>36516</v>
      </c>
    </row>
    <row r="590" spans="1:25" ht="21" customHeight="1">
      <c r="A590" s="62"/>
      <c r="B590" s="63"/>
      <c r="C590" s="83">
        <f>SUM(C582:C589)</f>
        <v>22</v>
      </c>
      <c r="D590" s="83"/>
      <c r="E590" s="62"/>
      <c r="F590" s="70">
        <f>SUM(F582:F589)</f>
        <v>31140</v>
      </c>
      <c r="G590" s="70"/>
      <c r="H590" s="71">
        <f aca="true" t="shared" si="166" ref="H590:Y590">SUM(H582:H589)</f>
        <v>0</v>
      </c>
      <c r="I590" s="71">
        <f t="shared" si="166"/>
        <v>0</v>
      </c>
      <c r="J590" s="71">
        <f t="shared" si="166"/>
        <v>0</v>
      </c>
      <c r="K590" s="71">
        <f t="shared" si="166"/>
        <v>0</v>
      </c>
      <c r="L590" s="71">
        <f t="shared" si="166"/>
        <v>0</v>
      </c>
      <c r="M590" s="71">
        <f t="shared" si="166"/>
        <v>0</v>
      </c>
      <c r="N590" s="71">
        <f t="shared" si="166"/>
        <v>0</v>
      </c>
      <c r="O590" s="71">
        <f t="shared" si="166"/>
        <v>0</v>
      </c>
      <c r="P590" s="71">
        <f t="shared" si="166"/>
        <v>0</v>
      </c>
      <c r="Q590" s="71">
        <f t="shared" si="166"/>
        <v>0</v>
      </c>
      <c r="R590" s="71">
        <f t="shared" si="166"/>
        <v>0</v>
      </c>
      <c r="S590" s="71">
        <f t="shared" si="166"/>
        <v>0</v>
      </c>
      <c r="T590" s="71">
        <f t="shared" si="166"/>
        <v>0</v>
      </c>
      <c r="U590" s="71">
        <f t="shared" si="166"/>
        <v>0</v>
      </c>
      <c r="V590" s="71">
        <f t="shared" si="166"/>
        <v>11387</v>
      </c>
      <c r="W590" s="70">
        <f t="shared" si="166"/>
        <v>11387</v>
      </c>
      <c r="X590" s="70">
        <f t="shared" si="166"/>
        <v>42527</v>
      </c>
      <c r="Y590" s="70">
        <f t="shared" si="166"/>
        <v>510324</v>
      </c>
    </row>
    <row r="591" spans="1:25" ht="24" customHeight="1">
      <c r="A591" s="290" t="s">
        <v>148</v>
      </c>
      <c r="B591" s="291"/>
      <c r="C591" s="291"/>
      <c r="D591" s="291"/>
      <c r="E591" s="291"/>
      <c r="F591" s="291"/>
      <c r="G591" s="291"/>
      <c r="H591" s="291"/>
      <c r="I591" s="291"/>
      <c r="J591" s="291"/>
      <c r="K591" s="291"/>
      <c r="L591" s="291"/>
      <c r="M591" s="291"/>
      <c r="N591" s="291"/>
      <c r="O591" s="291"/>
      <c r="P591" s="291"/>
      <c r="Q591" s="291"/>
      <c r="R591" s="291"/>
      <c r="S591" s="291"/>
      <c r="T591" s="291"/>
      <c r="U591" s="291"/>
      <c r="V591" s="291"/>
      <c r="W591" s="291"/>
      <c r="X591" s="291"/>
      <c r="Y591" s="292"/>
    </row>
    <row r="592" spans="1:25" ht="24" customHeight="1">
      <c r="A592" s="37">
        <v>1</v>
      </c>
      <c r="B592" s="38" t="s">
        <v>64</v>
      </c>
      <c r="C592" s="62">
        <v>1</v>
      </c>
      <c r="D592" s="62">
        <v>10</v>
      </c>
      <c r="E592" s="37">
        <v>2026</v>
      </c>
      <c r="F592" s="76">
        <f>E592*C592</f>
        <v>2026</v>
      </c>
      <c r="G592" s="76"/>
      <c r="H592" s="37"/>
      <c r="I592" s="37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>
        <f>SUM(H592:V592)</f>
        <v>0</v>
      </c>
      <c r="X592" s="76">
        <f>E592*C592+W592</f>
        <v>2026</v>
      </c>
      <c r="Y592" s="76">
        <f>X592*12</f>
        <v>24312</v>
      </c>
    </row>
    <row r="593" spans="1:25" ht="24" customHeight="1">
      <c r="A593" s="37">
        <v>2</v>
      </c>
      <c r="B593" s="38" t="s">
        <v>68</v>
      </c>
      <c r="C593" s="62">
        <v>2</v>
      </c>
      <c r="D593" s="62">
        <v>7</v>
      </c>
      <c r="E593" s="37">
        <v>1714</v>
      </c>
      <c r="F593" s="76">
        <f>E593*C593</f>
        <v>3428</v>
      </c>
      <c r="G593" s="76"/>
      <c r="H593" s="37"/>
      <c r="I593" s="37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>
        <f>SUM(H593:V593)</f>
        <v>0</v>
      </c>
      <c r="X593" s="76">
        <f>E593*C593+W593</f>
        <v>3428</v>
      </c>
      <c r="Y593" s="76">
        <f>X593*12</f>
        <v>41136</v>
      </c>
    </row>
    <row r="594" spans="1:25" ht="24" customHeight="1">
      <c r="A594" s="37">
        <v>3</v>
      </c>
      <c r="B594" s="38" t="s">
        <v>149</v>
      </c>
      <c r="C594" s="62">
        <v>5</v>
      </c>
      <c r="D594" s="62">
        <v>5</v>
      </c>
      <c r="E594" s="37">
        <v>1514</v>
      </c>
      <c r="F594" s="76">
        <f>E594*C594</f>
        <v>7570</v>
      </c>
      <c r="G594" s="76"/>
      <c r="H594" s="37"/>
      <c r="I594" s="37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>
        <f>SUM(H594:V594)</f>
        <v>0</v>
      </c>
      <c r="X594" s="76">
        <f>E594*C594+W594</f>
        <v>7570</v>
      </c>
      <c r="Y594" s="76">
        <f>X594*12</f>
        <v>90840</v>
      </c>
    </row>
    <row r="595" spans="1:25" ht="18.75" customHeight="1">
      <c r="A595" s="37"/>
      <c r="B595" s="38"/>
      <c r="C595" s="83">
        <f>SUM(C592:C594)</f>
        <v>8</v>
      </c>
      <c r="D595" s="83"/>
      <c r="E595" s="62"/>
      <c r="F595" s="70">
        <f>SUM(F592:F594)</f>
        <v>13024</v>
      </c>
      <c r="G595" s="70"/>
      <c r="H595" s="62">
        <f aca="true" t="shared" si="167" ref="H595:V595">SUM(H592:H594)</f>
        <v>0</v>
      </c>
      <c r="I595" s="62">
        <f t="shared" si="167"/>
        <v>0</v>
      </c>
      <c r="J595" s="62">
        <f t="shared" si="167"/>
        <v>0</v>
      </c>
      <c r="K595" s="62">
        <f t="shared" si="167"/>
        <v>0</v>
      </c>
      <c r="L595" s="62">
        <f t="shared" si="167"/>
        <v>0</v>
      </c>
      <c r="M595" s="62">
        <f t="shared" si="167"/>
        <v>0</v>
      </c>
      <c r="N595" s="62">
        <f t="shared" si="167"/>
        <v>0</v>
      </c>
      <c r="O595" s="62">
        <f t="shared" si="167"/>
        <v>0</v>
      </c>
      <c r="P595" s="62">
        <f t="shared" si="167"/>
        <v>0</v>
      </c>
      <c r="Q595" s="62">
        <f t="shared" si="167"/>
        <v>0</v>
      </c>
      <c r="R595" s="62">
        <f t="shared" si="167"/>
        <v>0</v>
      </c>
      <c r="S595" s="62">
        <f t="shared" si="167"/>
        <v>0</v>
      </c>
      <c r="T595" s="62">
        <f t="shared" si="167"/>
        <v>0</v>
      </c>
      <c r="U595" s="62">
        <f t="shared" si="167"/>
        <v>0</v>
      </c>
      <c r="V595" s="62">
        <f t="shared" si="167"/>
        <v>0</v>
      </c>
      <c r="W595" s="62">
        <f>SUM(H595:V595)</f>
        <v>0</v>
      </c>
      <c r="X595" s="70">
        <f>SUM(X592:X594)</f>
        <v>13024</v>
      </c>
      <c r="Y595" s="70">
        <f>SUM(Y592:Y594)</f>
        <v>156288</v>
      </c>
    </row>
    <row r="596" spans="1:25" ht="21.75" customHeight="1">
      <c r="A596" s="271" t="s">
        <v>336</v>
      </c>
      <c r="B596" s="272"/>
      <c r="C596" s="272"/>
      <c r="D596" s="272"/>
      <c r="E596" s="272"/>
      <c r="F596" s="272"/>
      <c r="G596" s="272"/>
      <c r="H596" s="272"/>
      <c r="I596" s="272"/>
      <c r="J596" s="272"/>
      <c r="K596" s="272"/>
      <c r="L596" s="272"/>
      <c r="M596" s="272"/>
      <c r="N596" s="272"/>
      <c r="O596" s="272"/>
      <c r="P596" s="272"/>
      <c r="Q596" s="272"/>
      <c r="R596" s="272"/>
      <c r="S596" s="272"/>
      <c r="T596" s="272"/>
      <c r="U596" s="272"/>
      <c r="V596" s="272"/>
      <c r="W596" s="272"/>
      <c r="X596" s="272"/>
      <c r="Y596" s="273"/>
    </row>
    <row r="597" spans="1:25" ht="21.75" customHeight="1">
      <c r="A597" s="40">
        <v>1</v>
      </c>
      <c r="B597" s="149" t="s">
        <v>337</v>
      </c>
      <c r="C597" s="40">
        <v>1.75</v>
      </c>
      <c r="D597" s="40">
        <v>9</v>
      </c>
      <c r="E597" s="40">
        <v>1925</v>
      </c>
      <c r="F597" s="41">
        <f aca="true" t="shared" si="168" ref="F597:F602">E597*C597</f>
        <v>3368.75</v>
      </c>
      <c r="G597" s="41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42">
        <f aca="true" t="shared" si="169" ref="W597:W602">SUM(H597:V597)</f>
        <v>0</v>
      </c>
      <c r="X597" s="41">
        <f aca="true" t="shared" si="170" ref="X597:X602">W597+F597</f>
        <v>3368.75</v>
      </c>
      <c r="Y597" s="41">
        <f aca="true" t="shared" si="171" ref="Y597:Y602">X597*12</f>
        <v>40425</v>
      </c>
    </row>
    <row r="598" spans="1:25" ht="21.75" customHeight="1">
      <c r="A598" s="40">
        <v>2</v>
      </c>
      <c r="B598" s="149" t="s">
        <v>121</v>
      </c>
      <c r="C598" s="40">
        <v>0.5</v>
      </c>
      <c r="D598" s="40">
        <v>7</v>
      </c>
      <c r="E598" s="40">
        <v>1714</v>
      </c>
      <c r="F598" s="41">
        <f t="shared" si="168"/>
        <v>857</v>
      </c>
      <c r="G598" s="41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42">
        <f t="shared" si="169"/>
        <v>0</v>
      </c>
      <c r="X598" s="41">
        <f t="shared" si="170"/>
        <v>857</v>
      </c>
      <c r="Y598" s="41">
        <f t="shared" si="171"/>
        <v>10284</v>
      </c>
    </row>
    <row r="599" spans="1:25" ht="21.75" customHeight="1">
      <c r="A599" s="40">
        <v>3</v>
      </c>
      <c r="B599" s="149" t="s">
        <v>244</v>
      </c>
      <c r="C599" s="40">
        <v>1</v>
      </c>
      <c r="D599" s="40">
        <v>2</v>
      </c>
      <c r="E599" s="40">
        <v>1383</v>
      </c>
      <c r="F599" s="41">
        <f t="shared" si="168"/>
        <v>1383</v>
      </c>
      <c r="G599" s="41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42">
        <f t="shared" si="169"/>
        <v>0</v>
      </c>
      <c r="X599" s="41">
        <f t="shared" si="170"/>
        <v>1383</v>
      </c>
      <c r="Y599" s="41">
        <f t="shared" si="171"/>
        <v>16596</v>
      </c>
    </row>
    <row r="600" spans="1:25" ht="21.75" customHeight="1">
      <c r="A600" s="40">
        <v>4</v>
      </c>
      <c r="B600" s="149" t="s">
        <v>271</v>
      </c>
      <c r="C600" s="40">
        <v>0.5</v>
      </c>
      <c r="D600" s="40">
        <v>7</v>
      </c>
      <c r="E600" s="40">
        <v>1714</v>
      </c>
      <c r="F600" s="41">
        <f t="shared" si="168"/>
        <v>857</v>
      </c>
      <c r="G600" s="41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42">
        <f t="shared" si="169"/>
        <v>0</v>
      </c>
      <c r="X600" s="41">
        <f t="shared" si="170"/>
        <v>857</v>
      </c>
      <c r="Y600" s="41">
        <f t="shared" si="171"/>
        <v>10284</v>
      </c>
    </row>
    <row r="601" spans="1:25" ht="21.75" customHeight="1">
      <c r="A601" s="40">
        <v>5</v>
      </c>
      <c r="B601" s="149" t="s">
        <v>308</v>
      </c>
      <c r="C601" s="40">
        <v>0.5</v>
      </c>
      <c r="D601" s="40">
        <v>4</v>
      </c>
      <c r="E601" s="40">
        <v>1414</v>
      </c>
      <c r="F601" s="41">
        <f t="shared" si="168"/>
        <v>707</v>
      </c>
      <c r="G601" s="41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42">
        <f t="shared" si="169"/>
        <v>0</v>
      </c>
      <c r="X601" s="41">
        <f t="shared" si="170"/>
        <v>707</v>
      </c>
      <c r="Y601" s="41">
        <f t="shared" si="171"/>
        <v>8484</v>
      </c>
    </row>
    <row r="602" spans="1:25" ht="21.75" customHeight="1">
      <c r="A602" s="40">
        <v>6</v>
      </c>
      <c r="B602" s="149" t="s">
        <v>289</v>
      </c>
      <c r="C602" s="40">
        <v>8</v>
      </c>
      <c r="D602" s="40">
        <v>2</v>
      </c>
      <c r="E602" s="40">
        <v>1383</v>
      </c>
      <c r="F602" s="41">
        <f t="shared" si="168"/>
        <v>11064</v>
      </c>
      <c r="G602" s="41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42">
        <f t="shared" si="169"/>
        <v>0</v>
      </c>
      <c r="X602" s="41">
        <f t="shared" si="170"/>
        <v>11064</v>
      </c>
      <c r="Y602" s="41">
        <f t="shared" si="171"/>
        <v>132768</v>
      </c>
    </row>
    <row r="603" spans="1:25" ht="21.75" customHeight="1">
      <c r="A603" s="77"/>
      <c r="B603" s="150" t="s">
        <v>21</v>
      </c>
      <c r="C603" s="68">
        <f>SUM(C597:C602)</f>
        <v>12.25</v>
      </c>
      <c r="D603" s="68"/>
      <c r="E603" s="68"/>
      <c r="F603" s="68">
        <f>SUM(F597:F602)</f>
        <v>18236.75</v>
      </c>
      <c r="G603" s="68"/>
      <c r="H603" s="68">
        <f aca="true" t="shared" si="172" ref="H603:Y603">SUM(H597:H602)</f>
        <v>0</v>
      </c>
      <c r="I603" s="68">
        <f t="shared" si="172"/>
        <v>0</v>
      </c>
      <c r="J603" s="68">
        <f t="shared" si="172"/>
        <v>0</v>
      </c>
      <c r="K603" s="68">
        <f t="shared" si="172"/>
        <v>0</v>
      </c>
      <c r="L603" s="68">
        <f t="shared" si="172"/>
        <v>0</v>
      </c>
      <c r="M603" s="68">
        <f t="shared" si="172"/>
        <v>0</v>
      </c>
      <c r="N603" s="68">
        <f t="shared" si="172"/>
        <v>0</v>
      </c>
      <c r="O603" s="68">
        <f t="shared" si="172"/>
        <v>0</v>
      </c>
      <c r="P603" s="68">
        <f t="shared" si="172"/>
        <v>0</v>
      </c>
      <c r="Q603" s="68">
        <f t="shared" si="172"/>
        <v>0</v>
      </c>
      <c r="R603" s="68">
        <f t="shared" si="172"/>
        <v>0</v>
      </c>
      <c r="S603" s="68">
        <f t="shared" si="172"/>
        <v>0</v>
      </c>
      <c r="T603" s="68">
        <f t="shared" si="172"/>
        <v>0</v>
      </c>
      <c r="U603" s="68">
        <f t="shared" si="172"/>
        <v>0</v>
      </c>
      <c r="V603" s="68">
        <f t="shared" si="172"/>
        <v>0</v>
      </c>
      <c r="W603" s="68">
        <f t="shared" si="172"/>
        <v>0</v>
      </c>
      <c r="X603" s="68">
        <f t="shared" si="172"/>
        <v>18236.75</v>
      </c>
      <c r="Y603" s="68">
        <f t="shared" si="172"/>
        <v>218841</v>
      </c>
    </row>
    <row r="604" spans="1:25" ht="21.75" customHeight="1">
      <c r="A604" s="287" t="s">
        <v>233</v>
      </c>
      <c r="B604" s="288"/>
      <c r="C604" s="288"/>
      <c r="D604" s="288"/>
      <c r="E604" s="288"/>
      <c r="F604" s="288"/>
      <c r="G604" s="288"/>
      <c r="H604" s="288"/>
      <c r="I604" s="288"/>
      <c r="J604" s="288"/>
      <c r="K604" s="288"/>
      <c r="L604" s="288"/>
      <c r="M604" s="288"/>
      <c r="N604" s="288"/>
      <c r="O604" s="288"/>
      <c r="P604" s="288"/>
      <c r="Q604" s="288"/>
      <c r="R604" s="288"/>
      <c r="S604" s="288"/>
      <c r="T604" s="288"/>
      <c r="U604" s="288"/>
      <c r="V604" s="288"/>
      <c r="W604" s="288"/>
      <c r="X604" s="288"/>
      <c r="Y604" s="289"/>
    </row>
    <row r="605" spans="1:25" ht="21.75" customHeight="1">
      <c r="A605" s="62">
        <v>1</v>
      </c>
      <c r="B605" s="63" t="s">
        <v>65</v>
      </c>
      <c r="C605" s="62">
        <v>1</v>
      </c>
      <c r="D605" s="62">
        <v>9</v>
      </c>
      <c r="E605" s="37">
        <v>1925</v>
      </c>
      <c r="F605" s="76">
        <f>E605*C605</f>
        <v>1925</v>
      </c>
      <c r="G605" s="76"/>
      <c r="H605" s="43"/>
      <c r="I605" s="43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>
        <f>SUM(H605:V605)</f>
        <v>0</v>
      </c>
      <c r="X605" s="41">
        <f>F605+W605</f>
        <v>1925</v>
      </c>
      <c r="Y605" s="80">
        <f>X605*12</f>
        <v>23100</v>
      </c>
    </row>
    <row r="606" spans="1:25" ht="21.75" customHeight="1">
      <c r="A606" s="62">
        <v>2</v>
      </c>
      <c r="B606" s="63" t="s">
        <v>66</v>
      </c>
      <c r="C606" s="62">
        <v>1</v>
      </c>
      <c r="D606" s="62">
        <v>8</v>
      </c>
      <c r="E606" s="37">
        <v>1825</v>
      </c>
      <c r="F606" s="76">
        <f>E606*C606</f>
        <v>1825</v>
      </c>
      <c r="G606" s="76"/>
      <c r="H606" s="43"/>
      <c r="I606" s="43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>
        <f>SUM(H606:V606)</f>
        <v>0</v>
      </c>
      <c r="X606" s="41">
        <f>F606+W606</f>
        <v>1825</v>
      </c>
      <c r="Y606" s="80">
        <f>X606*12</f>
        <v>21900</v>
      </c>
    </row>
    <row r="607" spans="1:25" ht="21.75" customHeight="1">
      <c r="A607" s="37"/>
      <c r="B607" s="38"/>
      <c r="C607" s="74">
        <f>SUM(C605:C606)</f>
        <v>2</v>
      </c>
      <c r="D607" s="74"/>
      <c r="E607" s="62"/>
      <c r="F607" s="70">
        <f>SUM(F605:F606)</f>
        <v>3750</v>
      </c>
      <c r="G607" s="70"/>
      <c r="H607" s="70">
        <f aca="true" t="shared" si="173" ref="H607:Y607">SUM(H605:H606)</f>
        <v>0</v>
      </c>
      <c r="I607" s="70">
        <f t="shared" si="173"/>
        <v>0</v>
      </c>
      <c r="J607" s="70">
        <f t="shared" si="173"/>
        <v>0</v>
      </c>
      <c r="K607" s="70">
        <f t="shared" si="173"/>
        <v>0</v>
      </c>
      <c r="L607" s="70">
        <f t="shared" si="173"/>
        <v>0</v>
      </c>
      <c r="M607" s="70">
        <f t="shared" si="173"/>
        <v>0</v>
      </c>
      <c r="N607" s="70">
        <f t="shared" si="173"/>
        <v>0</v>
      </c>
      <c r="O607" s="70">
        <f t="shared" si="173"/>
        <v>0</v>
      </c>
      <c r="P607" s="70">
        <f t="shared" si="173"/>
        <v>0</v>
      </c>
      <c r="Q607" s="70">
        <f t="shared" si="173"/>
        <v>0</v>
      </c>
      <c r="R607" s="70">
        <f t="shared" si="173"/>
        <v>0</v>
      </c>
      <c r="S607" s="70">
        <f t="shared" si="173"/>
        <v>0</v>
      </c>
      <c r="T607" s="70">
        <f t="shared" si="173"/>
        <v>0</v>
      </c>
      <c r="U607" s="70">
        <f t="shared" si="173"/>
        <v>0</v>
      </c>
      <c r="V607" s="70">
        <f t="shared" si="173"/>
        <v>0</v>
      </c>
      <c r="W607" s="70">
        <f t="shared" si="173"/>
        <v>0</v>
      </c>
      <c r="X607" s="70">
        <f t="shared" si="173"/>
        <v>3750</v>
      </c>
      <c r="Y607" s="70">
        <f t="shared" si="173"/>
        <v>45000</v>
      </c>
    </row>
    <row r="608" spans="1:25" ht="21.75" customHeight="1">
      <c r="A608" s="287" t="s">
        <v>155</v>
      </c>
      <c r="B608" s="288"/>
      <c r="C608" s="288"/>
      <c r="D608" s="288"/>
      <c r="E608" s="288"/>
      <c r="F608" s="288"/>
      <c r="G608" s="288"/>
      <c r="H608" s="288"/>
      <c r="I608" s="288"/>
      <c r="J608" s="288"/>
      <c r="K608" s="288"/>
      <c r="L608" s="288"/>
      <c r="M608" s="288"/>
      <c r="N608" s="288"/>
      <c r="O608" s="288"/>
      <c r="P608" s="288"/>
      <c r="Q608" s="288"/>
      <c r="R608" s="288"/>
      <c r="S608" s="288"/>
      <c r="T608" s="288"/>
      <c r="U608" s="288"/>
      <c r="V608" s="288"/>
      <c r="W608" s="288"/>
      <c r="X608" s="288"/>
      <c r="Y608" s="289"/>
    </row>
    <row r="609" spans="1:25" ht="21.75" customHeight="1">
      <c r="A609" s="62">
        <v>1</v>
      </c>
      <c r="B609" s="63" t="s">
        <v>68</v>
      </c>
      <c r="C609" s="65">
        <v>1</v>
      </c>
      <c r="D609" s="65">
        <v>7</v>
      </c>
      <c r="E609" s="40">
        <v>1714</v>
      </c>
      <c r="F609" s="41">
        <f>E609*C609</f>
        <v>1714</v>
      </c>
      <c r="G609" s="41"/>
      <c r="H609" s="43"/>
      <c r="I609" s="43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3">
        <f>SUM(H609:V609)</f>
        <v>0</v>
      </c>
      <c r="X609" s="41">
        <f>C609*E609+W609</f>
        <v>1714</v>
      </c>
      <c r="Y609" s="80">
        <f>X609*12</f>
        <v>20568</v>
      </c>
    </row>
    <row r="610" spans="1:25" ht="21.75" customHeight="1">
      <c r="A610" s="74"/>
      <c r="B610" s="74"/>
      <c r="C610" s="74">
        <f>SUM(C609:C609)</f>
        <v>1</v>
      </c>
      <c r="D610" s="74"/>
      <c r="E610" s="74"/>
      <c r="F610" s="70">
        <f>SUM(F609:F609)</f>
        <v>1714</v>
      </c>
      <c r="G610" s="70"/>
      <c r="H610" s="70">
        <f aca="true" t="shared" si="174" ref="H610:Y610">SUM(H609:H609)</f>
        <v>0</v>
      </c>
      <c r="I610" s="70">
        <f t="shared" si="174"/>
        <v>0</v>
      </c>
      <c r="J610" s="70">
        <f t="shared" si="174"/>
        <v>0</v>
      </c>
      <c r="K610" s="70">
        <f t="shared" si="174"/>
        <v>0</v>
      </c>
      <c r="L610" s="70">
        <f t="shared" si="174"/>
        <v>0</v>
      </c>
      <c r="M610" s="70">
        <f t="shared" si="174"/>
        <v>0</v>
      </c>
      <c r="N610" s="70">
        <f t="shared" si="174"/>
        <v>0</v>
      </c>
      <c r="O610" s="70">
        <f t="shared" si="174"/>
        <v>0</v>
      </c>
      <c r="P610" s="70">
        <f t="shared" si="174"/>
        <v>0</v>
      </c>
      <c r="Q610" s="70">
        <f t="shared" si="174"/>
        <v>0</v>
      </c>
      <c r="R610" s="70">
        <f t="shared" si="174"/>
        <v>0</v>
      </c>
      <c r="S610" s="70">
        <f t="shared" si="174"/>
        <v>0</v>
      </c>
      <c r="T610" s="70">
        <f t="shared" si="174"/>
        <v>0</v>
      </c>
      <c r="U610" s="70">
        <f t="shared" si="174"/>
        <v>0</v>
      </c>
      <c r="V610" s="70">
        <f t="shared" si="174"/>
        <v>0</v>
      </c>
      <c r="W610" s="70">
        <f t="shared" si="174"/>
        <v>0</v>
      </c>
      <c r="X610" s="70">
        <f t="shared" si="174"/>
        <v>1714</v>
      </c>
      <c r="Y610" s="70">
        <f t="shared" si="174"/>
        <v>20568</v>
      </c>
    </row>
    <row r="611" spans="1:25" ht="24.75" customHeight="1">
      <c r="A611" s="284" t="s">
        <v>150</v>
      </c>
      <c r="B611" s="285"/>
      <c r="C611" s="285"/>
      <c r="D611" s="285"/>
      <c r="E611" s="285"/>
      <c r="F611" s="285"/>
      <c r="G611" s="285"/>
      <c r="H611" s="285"/>
      <c r="I611" s="285"/>
      <c r="J611" s="285"/>
      <c r="K611" s="285"/>
      <c r="L611" s="285"/>
      <c r="M611" s="285"/>
      <c r="N611" s="285"/>
      <c r="O611" s="285"/>
      <c r="P611" s="285"/>
      <c r="Q611" s="285"/>
      <c r="R611" s="285"/>
      <c r="S611" s="285"/>
      <c r="T611" s="285"/>
      <c r="U611" s="285"/>
      <c r="V611" s="285"/>
      <c r="W611" s="285"/>
      <c r="X611" s="285"/>
      <c r="Y611" s="286"/>
    </row>
    <row r="612" spans="1:25" ht="24.75" customHeight="1">
      <c r="A612" s="37">
        <v>1</v>
      </c>
      <c r="B612" s="38" t="s">
        <v>186</v>
      </c>
      <c r="C612" s="62">
        <v>1</v>
      </c>
      <c r="D612" s="62"/>
      <c r="E612" s="62">
        <v>2124</v>
      </c>
      <c r="F612" s="80">
        <f aca="true" t="shared" si="175" ref="F612:F646">E612*C612</f>
        <v>2124</v>
      </c>
      <c r="G612" s="80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>
        <f aca="true" t="shared" si="176" ref="W612:W646">SUM(H612:V612)</f>
        <v>0</v>
      </c>
      <c r="X612" s="80">
        <f aca="true" t="shared" si="177" ref="X612:X646">C612*E612+W612</f>
        <v>2124</v>
      </c>
      <c r="Y612" s="80">
        <f aca="true" t="shared" si="178" ref="Y612:Y646">X612*12</f>
        <v>25488</v>
      </c>
    </row>
    <row r="613" spans="1:25" ht="24.75" customHeight="1">
      <c r="A613" s="37">
        <v>2</v>
      </c>
      <c r="B613" s="63" t="s">
        <v>145</v>
      </c>
      <c r="C613" s="62">
        <v>1</v>
      </c>
      <c r="D613" s="62">
        <v>5</v>
      </c>
      <c r="E613" s="62">
        <v>1514</v>
      </c>
      <c r="F613" s="80">
        <f t="shared" si="175"/>
        <v>1514</v>
      </c>
      <c r="G613" s="80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>
        <f t="shared" si="176"/>
        <v>0</v>
      </c>
      <c r="X613" s="80">
        <f t="shared" si="177"/>
        <v>1514</v>
      </c>
      <c r="Y613" s="80">
        <f t="shared" si="178"/>
        <v>18168</v>
      </c>
    </row>
    <row r="614" spans="1:25" ht="24.75" customHeight="1">
      <c r="A614" s="37">
        <v>3</v>
      </c>
      <c r="B614" s="63" t="s">
        <v>326</v>
      </c>
      <c r="C614" s="65">
        <v>1</v>
      </c>
      <c r="D614" s="65">
        <v>3</v>
      </c>
      <c r="E614" s="62">
        <v>1393</v>
      </c>
      <c r="F614" s="41">
        <f t="shared" si="175"/>
        <v>1393</v>
      </c>
      <c r="G614" s="41"/>
      <c r="H614" s="43"/>
      <c r="I614" s="43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62">
        <f t="shared" si="176"/>
        <v>0</v>
      </c>
      <c r="X614" s="80">
        <f t="shared" si="177"/>
        <v>1393</v>
      </c>
      <c r="Y614" s="80">
        <f t="shared" si="178"/>
        <v>16716</v>
      </c>
    </row>
    <row r="615" spans="1:25" ht="24.75" customHeight="1">
      <c r="A615" s="37">
        <v>4</v>
      </c>
      <c r="B615" s="63" t="s">
        <v>85</v>
      </c>
      <c r="C615" s="65">
        <v>1</v>
      </c>
      <c r="D615" s="62">
        <v>7</v>
      </c>
      <c r="E615" s="62">
        <v>1714</v>
      </c>
      <c r="F615" s="41">
        <f t="shared" si="175"/>
        <v>1714</v>
      </c>
      <c r="G615" s="41"/>
      <c r="H615" s="43"/>
      <c r="I615" s="43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62">
        <f t="shared" si="176"/>
        <v>0</v>
      </c>
      <c r="X615" s="80">
        <f t="shared" si="177"/>
        <v>1714</v>
      </c>
      <c r="Y615" s="80">
        <f t="shared" si="178"/>
        <v>20568</v>
      </c>
    </row>
    <row r="616" spans="1:25" ht="24.75" customHeight="1">
      <c r="A616" s="37">
        <v>5</v>
      </c>
      <c r="B616" s="63" t="s">
        <v>290</v>
      </c>
      <c r="C616" s="62">
        <v>1</v>
      </c>
      <c r="D616" s="62">
        <v>2</v>
      </c>
      <c r="E616" s="62">
        <v>1383</v>
      </c>
      <c r="F616" s="41">
        <f t="shared" si="175"/>
        <v>1383</v>
      </c>
      <c r="G616" s="41"/>
      <c r="H616" s="43"/>
      <c r="I616" s="43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62">
        <f t="shared" si="176"/>
        <v>0</v>
      </c>
      <c r="X616" s="80">
        <f t="shared" si="177"/>
        <v>1383</v>
      </c>
      <c r="Y616" s="80">
        <f t="shared" si="178"/>
        <v>16596</v>
      </c>
    </row>
    <row r="617" spans="1:25" ht="24.75" customHeight="1">
      <c r="A617" s="62">
        <v>6</v>
      </c>
      <c r="B617" s="63" t="s">
        <v>138</v>
      </c>
      <c r="C617" s="65">
        <v>2</v>
      </c>
      <c r="D617" s="65">
        <v>1</v>
      </c>
      <c r="E617" s="40">
        <v>1378</v>
      </c>
      <c r="F617" s="41">
        <f t="shared" si="175"/>
        <v>2756</v>
      </c>
      <c r="G617" s="41"/>
      <c r="H617" s="43"/>
      <c r="I617" s="43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3">
        <f t="shared" si="176"/>
        <v>0</v>
      </c>
      <c r="X617" s="41">
        <f t="shared" si="177"/>
        <v>2756</v>
      </c>
      <c r="Y617" s="80">
        <f t="shared" si="178"/>
        <v>33072</v>
      </c>
    </row>
    <row r="618" spans="1:25" ht="22.5" customHeight="1">
      <c r="A618" s="62">
        <v>7</v>
      </c>
      <c r="B618" s="63" t="s">
        <v>135</v>
      </c>
      <c r="C618" s="65">
        <v>6</v>
      </c>
      <c r="D618" s="65">
        <v>2</v>
      </c>
      <c r="E618" s="62">
        <v>1383</v>
      </c>
      <c r="F618" s="41">
        <f t="shared" si="175"/>
        <v>8298</v>
      </c>
      <c r="G618" s="41"/>
      <c r="H618" s="43"/>
      <c r="I618" s="43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>
        <f>ROUNDUP(F618*10%,0)</f>
        <v>830</v>
      </c>
      <c r="U618" s="42"/>
      <c r="V618" s="42"/>
      <c r="W618" s="43">
        <f t="shared" si="176"/>
        <v>830</v>
      </c>
      <c r="X618" s="41">
        <f t="shared" si="177"/>
        <v>9128</v>
      </c>
      <c r="Y618" s="80">
        <f t="shared" si="178"/>
        <v>109536</v>
      </c>
    </row>
    <row r="619" spans="1:25" ht="24.75" customHeight="1">
      <c r="A619" s="62">
        <v>8</v>
      </c>
      <c r="B619" s="63" t="s">
        <v>144</v>
      </c>
      <c r="C619" s="62">
        <v>2</v>
      </c>
      <c r="D619" s="62">
        <v>1</v>
      </c>
      <c r="E619" s="62">
        <v>1378</v>
      </c>
      <c r="F619" s="41">
        <f t="shared" si="175"/>
        <v>2756</v>
      </c>
      <c r="G619" s="41"/>
      <c r="H619" s="43"/>
      <c r="I619" s="43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62">
        <f t="shared" si="176"/>
        <v>0</v>
      </c>
      <c r="X619" s="80">
        <f t="shared" si="177"/>
        <v>2756</v>
      </c>
      <c r="Y619" s="80">
        <f t="shared" si="178"/>
        <v>33072</v>
      </c>
    </row>
    <row r="620" spans="1:25" ht="24.75" customHeight="1">
      <c r="A620" s="62">
        <v>9</v>
      </c>
      <c r="B620" s="63" t="s">
        <v>153</v>
      </c>
      <c r="C620" s="62">
        <v>4</v>
      </c>
      <c r="D620" s="62">
        <v>3</v>
      </c>
      <c r="E620" s="62">
        <v>1393</v>
      </c>
      <c r="F620" s="80">
        <f t="shared" si="175"/>
        <v>5572</v>
      </c>
      <c r="G620" s="80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>
        <f t="shared" si="176"/>
        <v>0</v>
      </c>
      <c r="X620" s="80">
        <f t="shared" si="177"/>
        <v>5572</v>
      </c>
      <c r="Y620" s="80">
        <f t="shared" si="178"/>
        <v>66864</v>
      </c>
    </row>
    <row r="621" spans="1:25" ht="31.5" customHeight="1">
      <c r="A621" s="62">
        <v>10</v>
      </c>
      <c r="B621" s="53" t="s">
        <v>338</v>
      </c>
      <c r="C621" s="62">
        <v>1</v>
      </c>
      <c r="D621" s="62">
        <v>10</v>
      </c>
      <c r="E621" s="62">
        <v>2026</v>
      </c>
      <c r="F621" s="80">
        <f t="shared" si="175"/>
        <v>2026</v>
      </c>
      <c r="G621" s="80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>
        <f t="shared" si="176"/>
        <v>0</v>
      </c>
      <c r="X621" s="80">
        <f t="shared" si="177"/>
        <v>2026</v>
      </c>
      <c r="Y621" s="80">
        <f t="shared" si="178"/>
        <v>24312</v>
      </c>
    </row>
    <row r="622" spans="1:25" ht="33.75" customHeight="1">
      <c r="A622" s="62">
        <v>11</v>
      </c>
      <c r="B622" s="53" t="s">
        <v>339</v>
      </c>
      <c r="C622" s="62">
        <v>1</v>
      </c>
      <c r="D622" s="62">
        <v>9</v>
      </c>
      <c r="E622" s="62">
        <v>1925</v>
      </c>
      <c r="F622" s="80">
        <f t="shared" si="175"/>
        <v>1925</v>
      </c>
      <c r="G622" s="80"/>
      <c r="H622" s="62"/>
      <c r="I622" s="42">
        <f>ROUNDUP(F622*20%,0)</f>
        <v>385</v>
      </c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>
        <f t="shared" si="176"/>
        <v>385</v>
      </c>
      <c r="X622" s="80">
        <f t="shared" si="177"/>
        <v>2310</v>
      </c>
      <c r="Y622" s="80">
        <f t="shared" si="178"/>
        <v>27720</v>
      </c>
    </row>
    <row r="623" spans="1:25" ht="30.75" customHeight="1">
      <c r="A623" s="62">
        <v>12</v>
      </c>
      <c r="B623" s="53" t="s">
        <v>340</v>
      </c>
      <c r="C623" s="62">
        <v>1</v>
      </c>
      <c r="D623" s="62">
        <v>8</v>
      </c>
      <c r="E623" s="62">
        <v>1825</v>
      </c>
      <c r="F623" s="80">
        <f t="shared" si="175"/>
        <v>1825</v>
      </c>
      <c r="G623" s="80"/>
      <c r="H623" s="62"/>
      <c r="I623" s="42">
        <f>ROUNDUP(F623*20%,0)</f>
        <v>365</v>
      </c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>
        <f t="shared" si="176"/>
        <v>365</v>
      </c>
      <c r="X623" s="80">
        <f t="shared" si="177"/>
        <v>2190</v>
      </c>
      <c r="Y623" s="80">
        <f t="shared" si="178"/>
        <v>26280</v>
      </c>
    </row>
    <row r="624" spans="1:25" ht="24.75" customHeight="1">
      <c r="A624" s="62">
        <v>13</v>
      </c>
      <c r="B624" s="53" t="s">
        <v>65</v>
      </c>
      <c r="C624" s="62">
        <v>1</v>
      </c>
      <c r="D624" s="62">
        <v>9</v>
      </c>
      <c r="E624" s="62">
        <v>1925</v>
      </c>
      <c r="F624" s="80">
        <f t="shared" si="175"/>
        <v>1925</v>
      </c>
      <c r="G624" s="80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>
        <f t="shared" si="176"/>
        <v>0</v>
      </c>
      <c r="X624" s="80">
        <f t="shared" si="177"/>
        <v>1925</v>
      </c>
      <c r="Y624" s="80">
        <f t="shared" si="178"/>
        <v>23100</v>
      </c>
    </row>
    <row r="625" spans="1:25" ht="24.75" customHeight="1">
      <c r="A625" s="62">
        <v>14</v>
      </c>
      <c r="B625" s="53" t="s">
        <v>341</v>
      </c>
      <c r="C625" s="62">
        <v>1</v>
      </c>
      <c r="D625" s="62">
        <v>8</v>
      </c>
      <c r="E625" s="62">
        <v>1825</v>
      </c>
      <c r="F625" s="80">
        <f t="shared" si="175"/>
        <v>1825</v>
      </c>
      <c r="G625" s="80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>
        <f t="shared" si="176"/>
        <v>0</v>
      </c>
      <c r="X625" s="80">
        <f t="shared" si="177"/>
        <v>1825</v>
      </c>
      <c r="Y625" s="80">
        <f t="shared" si="178"/>
        <v>21900</v>
      </c>
    </row>
    <row r="626" spans="1:25" ht="24.75" customHeight="1">
      <c r="A626" s="62">
        <v>15</v>
      </c>
      <c r="B626" s="53" t="s">
        <v>342</v>
      </c>
      <c r="C626" s="62">
        <v>1</v>
      </c>
      <c r="D626" s="62">
        <v>7</v>
      </c>
      <c r="E626" s="62">
        <v>1714</v>
      </c>
      <c r="F626" s="80">
        <f t="shared" si="175"/>
        <v>1714</v>
      </c>
      <c r="G626" s="80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>
        <f t="shared" si="176"/>
        <v>0</v>
      </c>
      <c r="X626" s="80">
        <f t="shared" si="177"/>
        <v>1714</v>
      </c>
      <c r="Y626" s="80">
        <f t="shared" si="178"/>
        <v>20568</v>
      </c>
    </row>
    <row r="627" spans="1:25" ht="32.25" customHeight="1">
      <c r="A627" s="62">
        <v>16</v>
      </c>
      <c r="B627" s="53" t="s">
        <v>343</v>
      </c>
      <c r="C627" s="62">
        <v>1</v>
      </c>
      <c r="D627" s="62">
        <v>7</v>
      </c>
      <c r="E627" s="62">
        <v>1714</v>
      </c>
      <c r="F627" s="80">
        <f t="shared" si="175"/>
        <v>1714</v>
      </c>
      <c r="G627" s="80"/>
      <c r="H627" s="62"/>
      <c r="I627" s="42">
        <f>ROUNDUP(F627*20%,0)</f>
        <v>343</v>
      </c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>
        <f t="shared" si="176"/>
        <v>343</v>
      </c>
      <c r="X627" s="80">
        <f t="shared" si="177"/>
        <v>2057</v>
      </c>
      <c r="Y627" s="80">
        <f t="shared" si="178"/>
        <v>24684</v>
      </c>
    </row>
    <row r="628" spans="1:25" ht="33" customHeight="1">
      <c r="A628" s="62">
        <v>17</v>
      </c>
      <c r="B628" s="53" t="s">
        <v>344</v>
      </c>
      <c r="C628" s="62">
        <v>1</v>
      </c>
      <c r="D628" s="62">
        <v>7</v>
      </c>
      <c r="E628" s="62">
        <v>1714</v>
      </c>
      <c r="F628" s="80">
        <f t="shared" si="175"/>
        <v>1714</v>
      </c>
      <c r="G628" s="80"/>
      <c r="H628" s="62"/>
      <c r="I628" s="42">
        <f>ROUNDUP(F628*20%,0)</f>
        <v>343</v>
      </c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>
        <f t="shared" si="176"/>
        <v>343</v>
      </c>
      <c r="X628" s="80">
        <f t="shared" si="177"/>
        <v>2057</v>
      </c>
      <c r="Y628" s="80">
        <f t="shared" si="178"/>
        <v>24684</v>
      </c>
    </row>
    <row r="629" spans="1:25" ht="34.5" customHeight="1">
      <c r="A629" s="62">
        <v>18</v>
      </c>
      <c r="B629" s="53" t="s">
        <v>345</v>
      </c>
      <c r="C629" s="62">
        <v>1</v>
      </c>
      <c r="D629" s="62">
        <v>7</v>
      </c>
      <c r="E629" s="62">
        <v>1714</v>
      </c>
      <c r="F629" s="80">
        <f t="shared" si="175"/>
        <v>1714</v>
      </c>
      <c r="G629" s="80"/>
      <c r="H629" s="62"/>
      <c r="I629" s="42">
        <f>ROUNDUP(F629*20%,0)</f>
        <v>343</v>
      </c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>
        <f t="shared" si="176"/>
        <v>343</v>
      </c>
      <c r="X629" s="80">
        <f t="shared" si="177"/>
        <v>2057</v>
      </c>
      <c r="Y629" s="80">
        <f t="shared" si="178"/>
        <v>24684</v>
      </c>
    </row>
    <row r="630" spans="1:25" ht="32.25" customHeight="1">
      <c r="A630" s="62">
        <v>19</v>
      </c>
      <c r="B630" s="53" t="s">
        <v>346</v>
      </c>
      <c r="C630" s="62">
        <v>1</v>
      </c>
      <c r="D630" s="62">
        <v>7</v>
      </c>
      <c r="E630" s="62">
        <v>1714</v>
      </c>
      <c r="F630" s="80">
        <f t="shared" si="175"/>
        <v>1714</v>
      </c>
      <c r="G630" s="80"/>
      <c r="H630" s="62"/>
      <c r="I630" s="42">
        <f>ROUNDUP(F630*20%,0)</f>
        <v>343</v>
      </c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>
        <f t="shared" si="176"/>
        <v>343</v>
      </c>
      <c r="X630" s="80">
        <f t="shared" si="177"/>
        <v>2057</v>
      </c>
      <c r="Y630" s="80">
        <f t="shared" si="178"/>
        <v>24684</v>
      </c>
    </row>
    <row r="631" spans="1:25" ht="27" customHeight="1">
      <c r="A631" s="62">
        <v>20</v>
      </c>
      <c r="B631" s="53" t="s">
        <v>347</v>
      </c>
      <c r="C631" s="62">
        <v>1</v>
      </c>
      <c r="D631" s="62">
        <v>8</v>
      </c>
      <c r="E631" s="62">
        <v>1825</v>
      </c>
      <c r="F631" s="80">
        <f t="shared" si="175"/>
        <v>1825</v>
      </c>
      <c r="G631" s="80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>
        <f t="shared" si="176"/>
        <v>0</v>
      </c>
      <c r="X631" s="80">
        <f t="shared" si="177"/>
        <v>1825</v>
      </c>
      <c r="Y631" s="80">
        <f t="shared" si="178"/>
        <v>21900</v>
      </c>
    </row>
    <row r="632" spans="1:25" ht="33" customHeight="1">
      <c r="A632" s="62">
        <v>21</v>
      </c>
      <c r="B632" s="53" t="s">
        <v>348</v>
      </c>
      <c r="C632" s="62">
        <v>1</v>
      </c>
      <c r="D632" s="62">
        <v>7</v>
      </c>
      <c r="E632" s="62">
        <v>1714</v>
      </c>
      <c r="F632" s="80">
        <f t="shared" si="175"/>
        <v>1714</v>
      </c>
      <c r="G632" s="80"/>
      <c r="H632" s="62"/>
      <c r="I632" s="42">
        <f aca="true" t="shared" si="179" ref="I632:I645">ROUNDUP(F632*20%,0)</f>
        <v>343</v>
      </c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>
        <f t="shared" si="176"/>
        <v>343</v>
      </c>
      <c r="X632" s="80">
        <f t="shared" si="177"/>
        <v>2057</v>
      </c>
      <c r="Y632" s="80">
        <f t="shared" si="178"/>
        <v>24684</v>
      </c>
    </row>
    <row r="633" spans="1:25" ht="32.25" customHeight="1">
      <c r="A633" s="62">
        <v>22</v>
      </c>
      <c r="B633" s="53" t="s">
        <v>349</v>
      </c>
      <c r="C633" s="62">
        <v>1</v>
      </c>
      <c r="D633" s="62">
        <v>7</v>
      </c>
      <c r="E633" s="62">
        <v>1714</v>
      </c>
      <c r="F633" s="80">
        <f t="shared" si="175"/>
        <v>1714</v>
      </c>
      <c r="G633" s="80"/>
      <c r="H633" s="62"/>
      <c r="I633" s="42">
        <f t="shared" si="179"/>
        <v>343</v>
      </c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>
        <f t="shared" si="176"/>
        <v>343</v>
      </c>
      <c r="X633" s="80">
        <f t="shared" si="177"/>
        <v>2057</v>
      </c>
      <c r="Y633" s="80">
        <f t="shared" si="178"/>
        <v>24684</v>
      </c>
    </row>
    <row r="634" spans="1:25" ht="33.75" customHeight="1">
      <c r="A634" s="62">
        <v>23</v>
      </c>
      <c r="B634" s="53" t="s">
        <v>350</v>
      </c>
      <c r="C634" s="62">
        <v>1</v>
      </c>
      <c r="D634" s="62">
        <v>7</v>
      </c>
      <c r="E634" s="62">
        <v>1714</v>
      </c>
      <c r="F634" s="80">
        <f t="shared" si="175"/>
        <v>1714</v>
      </c>
      <c r="G634" s="80"/>
      <c r="H634" s="62"/>
      <c r="I634" s="42">
        <f t="shared" si="179"/>
        <v>343</v>
      </c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>
        <f t="shared" si="176"/>
        <v>343</v>
      </c>
      <c r="X634" s="80">
        <f t="shared" si="177"/>
        <v>2057</v>
      </c>
      <c r="Y634" s="80">
        <f t="shared" si="178"/>
        <v>24684</v>
      </c>
    </row>
    <row r="635" spans="1:25" ht="48.75" customHeight="1">
      <c r="A635" s="62">
        <v>24</v>
      </c>
      <c r="B635" s="53" t="s">
        <v>351</v>
      </c>
      <c r="C635" s="62">
        <v>1</v>
      </c>
      <c r="D635" s="62">
        <v>9</v>
      </c>
      <c r="E635" s="62">
        <v>1925</v>
      </c>
      <c r="F635" s="80">
        <f t="shared" si="175"/>
        <v>1925</v>
      </c>
      <c r="G635" s="80"/>
      <c r="H635" s="62"/>
      <c r="I635" s="42">
        <f t="shared" si="179"/>
        <v>385</v>
      </c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>
        <f t="shared" si="176"/>
        <v>385</v>
      </c>
      <c r="X635" s="80">
        <f t="shared" si="177"/>
        <v>2310</v>
      </c>
      <c r="Y635" s="80">
        <f t="shared" si="178"/>
        <v>27720</v>
      </c>
    </row>
    <row r="636" spans="1:25" ht="44.25" customHeight="1">
      <c r="A636" s="62">
        <v>25</v>
      </c>
      <c r="B636" s="53" t="s">
        <v>352</v>
      </c>
      <c r="C636" s="62">
        <v>1</v>
      </c>
      <c r="D636" s="62">
        <v>9</v>
      </c>
      <c r="E636" s="62">
        <v>1925</v>
      </c>
      <c r="F636" s="80">
        <f t="shared" si="175"/>
        <v>1925</v>
      </c>
      <c r="G636" s="80"/>
      <c r="H636" s="62"/>
      <c r="I636" s="42">
        <f t="shared" si="179"/>
        <v>385</v>
      </c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>
        <f t="shared" si="176"/>
        <v>385</v>
      </c>
      <c r="X636" s="80">
        <f t="shared" si="177"/>
        <v>2310</v>
      </c>
      <c r="Y636" s="80">
        <f t="shared" si="178"/>
        <v>27720</v>
      </c>
    </row>
    <row r="637" spans="1:25" ht="27" customHeight="1">
      <c r="A637" s="62">
        <v>26</v>
      </c>
      <c r="B637" s="38" t="s">
        <v>353</v>
      </c>
      <c r="C637" s="62">
        <v>5</v>
      </c>
      <c r="D637" s="62">
        <v>7</v>
      </c>
      <c r="E637" s="62">
        <v>1714</v>
      </c>
      <c r="F637" s="80">
        <f t="shared" si="175"/>
        <v>8570</v>
      </c>
      <c r="G637" s="80"/>
      <c r="H637" s="62"/>
      <c r="I637" s="42">
        <f t="shared" si="179"/>
        <v>1714</v>
      </c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>
        <f t="shared" si="176"/>
        <v>1714</v>
      </c>
      <c r="X637" s="80">
        <f t="shared" si="177"/>
        <v>10284</v>
      </c>
      <c r="Y637" s="80">
        <f t="shared" si="178"/>
        <v>123408</v>
      </c>
    </row>
    <row r="638" spans="1:25" ht="27" customHeight="1">
      <c r="A638" s="62">
        <v>27</v>
      </c>
      <c r="B638" s="38" t="s">
        <v>354</v>
      </c>
      <c r="C638" s="62">
        <v>1</v>
      </c>
      <c r="D638" s="62">
        <v>7</v>
      </c>
      <c r="E638" s="62">
        <v>1714</v>
      </c>
      <c r="F638" s="80">
        <f t="shared" si="175"/>
        <v>1714</v>
      </c>
      <c r="G638" s="80"/>
      <c r="H638" s="62"/>
      <c r="I638" s="42">
        <f t="shared" si="179"/>
        <v>343</v>
      </c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>
        <f t="shared" si="176"/>
        <v>343</v>
      </c>
      <c r="X638" s="80">
        <f t="shared" si="177"/>
        <v>2057</v>
      </c>
      <c r="Y638" s="80">
        <f t="shared" si="178"/>
        <v>24684</v>
      </c>
    </row>
    <row r="639" spans="1:25" ht="34.5" customHeight="1">
      <c r="A639" s="62">
        <v>28</v>
      </c>
      <c r="B639" s="53" t="s">
        <v>355</v>
      </c>
      <c r="C639" s="62">
        <v>1</v>
      </c>
      <c r="D639" s="62">
        <v>7</v>
      </c>
      <c r="E639" s="62">
        <v>1714</v>
      </c>
      <c r="F639" s="80">
        <f t="shared" si="175"/>
        <v>1714</v>
      </c>
      <c r="G639" s="80"/>
      <c r="H639" s="62"/>
      <c r="I639" s="42">
        <f t="shared" si="179"/>
        <v>343</v>
      </c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>
        <f t="shared" si="176"/>
        <v>343</v>
      </c>
      <c r="X639" s="80">
        <f t="shared" si="177"/>
        <v>2057</v>
      </c>
      <c r="Y639" s="80">
        <f t="shared" si="178"/>
        <v>24684</v>
      </c>
    </row>
    <row r="640" spans="1:25" ht="27" customHeight="1">
      <c r="A640" s="62">
        <v>29</v>
      </c>
      <c r="B640" s="53" t="s">
        <v>356</v>
      </c>
      <c r="C640" s="62">
        <v>1</v>
      </c>
      <c r="D640" s="62">
        <v>7</v>
      </c>
      <c r="E640" s="62">
        <v>1714</v>
      </c>
      <c r="F640" s="80">
        <f t="shared" si="175"/>
        <v>1714</v>
      </c>
      <c r="G640" s="80"/>
      <c r="H640" s="62"/>
      <c r="I640" s="42">
        <f t="shared" si="179"/>
        <v>343</v>
      </c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>
        <f t="shared" si="176"/>
        <v>343</v>
      </c>
      <c r="X640" s="80">
        <f t="shared" si="177"/>
        <v>2057</v>
      </c>
      <c r="Y640" s="80">
        <f t="shared" si="178"/>
        <v>24684</v>
      </c>
    </row>
    <row r="641" spans="1:25" ht="41.25" customHeight="1">
      <c r="A641" s="62">
        <v>30</v>
      </c>
      <c r="B641" s="53" t="s">
        <v>357</v>
      </c>
      <c r="C641" s="62">
        <v>1</v>
      </c>
      <c r="D641" s="62">
        <v>7</v>
      </c>
      <c r="E641" s="62">
        <v>1714</v>
      </c>
      <c r="F641" s="80">
        <f t="shared" si="175"/>
        <v>1714</v>
      </c>
      <c r="G641" s="80"/>
      <c r="H641" s="62"/>
      <c r="I641" s="42">
        <f t="shared" si="179"/>
        <v>343</v>
      </c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>
        <f t="shared" si="176"/>
        <v>343</v>
      </c>
      <c r="X641" s="80">
        <f t="shared" si="177"/>
        <v>2057</v>
      </c>
      <c r="Y641" s="80">
        <f t="shared" si="178"/>
        <v>24684</v>
      </c>
    </row>
    <row r="642" spans="1:25" ht="27" customHeight="1">
      <c r="A642" s="62">
        <v>31</v>
      </c>
      <c r="B642" s="53" t="s">
        <v>358</v>
      </c>
      <c r="C642" s="62">
        <v>1</v>
      </c>
      <c r="D642" s="62">
        <v>7</v>
      </c>
      <c r="E642" s="62">
        <v>1714</v>
      </c>
      <c r="F642" s="80">
        <f t="shared" si="175"/>
        <v>1714</v>
      </c>
      <c r="G642" s="80"/>
      <c r="H642" s="62"/>
      <c r="I642" s="42">
        <f t="shared" si="179"/>
        <v>343</v>
      </c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>
        <f t="shared" si="176"/>
        <v>343</v>
      </c>
      <c r="X642" s="80">
        <f t="shared" si="177"/>
        <v>2057</v>
      </c>
      <c r="Y642" s="80">
        <f t="shared" si="178"/>
        <v>24684</v>
      </c>
    </row>
    <row r="643" spans="1:25" ht="27" customHeight="1">
      <c r="A643" s="62">
        <v>32</v>
      </c>
      <c r="B643" s="53" t="s">
        <v>359</v>
      </c>
      <c r="C643" s="62">
        <v>1</v>
      </c>
      <c r="D643" s="62">
        <v>7</v>
      </c>
      <c r="E643" s="62">
        <v>1714</v>
      </c>
      <c r="F643" s="80">
        <f t="shared" si="175"/>
        <v>1714</v>
      </c>
      <c r="G643" s="80"/>
      <c r="H643" s="62"/>
      <c r="I643" s="42">
        <f t="shared" si="179"/>
        <v>343</v>
      </c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>
        <f t="shared" si="176"/>
        <v>343</v>
      </c>
      <c r="X643" s="80">
        <f t="shared" si="177"/>
        <v>2057</v>
      </c>
      <c r="Y643" s="80">
        <f t="shared" si="178"/>
        <v>24684</v>
      </c>
    </row>
    <row r="644" spans="1:25" ht="24.75" customHeight="1">
      <c r="A644" s="62">
        <v>33</v>
      </c>
      <c r="B644" s="38" t="s">
        <v>360</v>
      </c>
      <c r="C644" s="62">
        <v>1</v>
      </c>
      <c r="D644" s="62">
        <v>9</v>
      </c>
      <c r="E644" s="62">
        <v>1925</v>
      </c>
      <c r="F644" s="80">
        <f t="shared" si="175"/>
        <v>1925</v>
      </c>
      <c r="G644" s="80"/>
      <c r="H644" s="62"/>
      <c r="I644" s="42">
        <f t="shared" si="179"/>
        <v>385</v>
      </c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>
        <f t="shared" si="176"/>
        <v>385</v>
      </c>
      <c r="X644" s="80">
        <f t="shared" si="177"/>
        <v>2310</v>
      </c>
      <c r="Y644" s="80">
        <f t="shared" si="178"/>
        <v>27720</v>
      </c>
    </row>
    <row r="645" spans="1:25" ht="24.75" customHeight="1">
      <c r="A645" s="62">
        <v>34</v>
      </c>
      <c r="B645" s="38" t="s">
        <v>361</v>
      </c>
      <c r="C645" s="62">
        <v>2</v>
      </c>
      <c r="D645" s="62">
        <v>8</v>
      </c>
      <c r="E645" s="62">
        <v>1825</v>
      </c>
      <c r="F645" s="80">
        <f t="shared" si="175"/>
        <v>3650</v>
      </c>
      <c r="G645" s="80"/>
      <c r="H645" s="62"/>
      <c r="I645" s="42">
        <f t="shared" si="179"/>
        <v>730</v>
      </c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>
        <f t="shared" si="176"/>
        <v>730</v>
      </c>
      <c r="X645" s="80">
        <f t="shared" si="177"/>
        <v>4380</v>
      </c>
      <c r="Y645" s="80">
        <f t="shared" si="178"/>
        <v>52560</v>
      </c>
    </row>
    <row r="646" spans="1:25" ht="30" customHeight="1">
      <c r="A646" s="62">
        <v>35</v>
      </c>
      <c r="B646" s="53" t="s">
        <v>362</v>
      </c>
      <c r="C646" s="62">
        <v>1</v>
      </c>
      <c r="D646" s="62">
        <v>8</v>
      </c>
      <c r="E646" s="62">
        <v>1825</v>
      </c>
      <c r="F646" s="80">
        <f t="shared" si="175"/>
        <v>1825</v>
      </c>
      <c r="G646" s="80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>
        <f t="shared" si="176"/>
        <v>0</v>
      </c>
      <c r="X646" s="80">
        <f t="shared" si="177"/>
        <v>1825</v>
      </c>
      <c r="Y646" s="80">
        <f t="shared" si="178"/>
        <v>21900</v>
      </c>
    </row>
    <row r="647" spans="1:25" ht="24.75" customHeight="1">
      <c r="A647" s="62"/>
      <c r="B647" s="38"/>
      <c r="C647" s="83">
        <f>SUM(C612:C646)</f>
        <v>50</v>
      </c>
      <c r="D647" s="37"/>
      <c r="E647" s="62"/>
      <c r="F647" s="70">
        <f>SUM(F612:F646)</f>
        <v>82677</v>
      </c>
      <c r="G647" s="70"/>
      <c r="H647" s="62">
        <f aca="true" t="shared" si="180" ref="H647:Y647">SUM(H612:H646)</f>
        <v>0</v>
      </c>
      <c r="I647" s="62">
        <f t="shared" si="180"/>
        <v>8808</v>
      </c>
      <c r="J647" s="62">
        <f t="shared" si="180"/>
        <v>0</v>
      </c>
      <c r="K647" s="62">
        <f t="shared" si="180"/>
        <v>0</v>
      </c>
      <c r="L647" s="62">
        <f t="shared" si="180"/>
        <v>0</v>
      </c>
      <c r="M647" s="62">
        <f t="shared" si="180"/>
        <v>0</v>
      </c>
      <c r="N647" s="62">
        <f t="shared" si="180"/>
        <v>0</v>
      </c>
      <c r="O647" s="62">
        <f t="shared" si="180"/>
        <v>0</v>
      </c>
      <c r="P647" s="62">
        <f t="shared" si="180"/>
        <v>0</v>
      </c>
      <c r="Q647" s="62">
        <f t="shared" si="180"/>
        <v>0</v>
      </c>
      <c r="R647" s="62">
        <f t="shared" si="180"/>
        <v>0</v>
      </c>
      <c r="S647" s="62">
        <f t="shared" si="180"/>
        <v>0</v>
      </c>
      <c r="T647" s="62">
        <f t="shared" si="180"/>
        <v>830</v>
      </c>
      <c r="U647" s="62">
        <f t="shared" si="180"/>
        <v>0</v>
      </c>
      <c r="V647" s="62">
        <f t="shared" si="180"/>
        <v>0</v>
      </c>
      <c r="W647" s="62">
        <f t="shared" si="180"/>
        <v>9638</v>
      </c>
      <c r="X647" s="70">
        <f t="shared" si="180"/>
        <v>92315</v>
      </c>
      <c r="Y647" s="70">
        <f t="shared" si="180"/>
        <v>1107780</v>
      </c>
    </row>
    <row r="648" spans="1:25" ht="18.75" customHeight="1">
      <c r="A648" s="287" t="s">
        <v>363</v>
      </c>
      <c r="B648" s="288"/>
      <c r="C648" s="288"/>
      <c r="D648" s="288"/>
      <c r="E648" s="288"/>
      <c r="F648" s="288"/>
      <c r="G648" s="288"/>
      <c r="H648" s="288"/>
      <c r="I648" s="288"/>
      <c r="J648" s="288"/>
      <c r="K648" s="288"/>
      <c r="L648" s="288"/>
      <c r="M648" s="288"/>
      <c r="N648" s="288"/>
      <c r="O648" s="288"/>
      <c r="P648" s="288"/>
      <c r="Q648" s="288"/>
      <c r="R648" s="288"/>
      <c r="S648" s="288"/>
      <c r="T648" s="288"/>
      <c r="U648" s="288"/>
      <c r="V648" s="288"/>
      <c r="W648" s="288"/>
      <c r="X648" s="288"/>
      <c r="Y648" s="289"/>
    </row>
    <row r="649" spans="1:25" ht="18.75" customHeight="1">
      <c r="A649" s="37">
        <v>1</v>
      </c>
      <c r="B649" s="63" t="s">
        <v>364</v>
      </c>
      <c r="C649" s="62">
        <v>1</v>
      </c>
      <c r="D649" s="62">
        <v>12</v>
      </c>
      <c r="E649" s="37">
        <v>2360</v>
      </c>
      <c r="F649" s="76">
        <f>E649*C649</f>
        <v>2360</v>
      </c>
      <c r="G649" s="76"/>
      <c r="H649" s="43"/>
      <c r="I649" s="43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>
        <f>SUM(H649:V649)</f>
        <v>0</v>
      </c>
      <c r="X649" s="41">
        <f>C649*E649+W649</f>
        <v>2360</v>
      </c>
      <c r="Y649" s="80">
        <f>X649*12</f>
        <v>28320</v>
      </c>
    </row>
    <row r="650" spans="1:25" ht="19.5" customHeight="1">
      <c r="A650" s="151">
        <v>2</v>
      </c>
      <c r="B650" s="38" t="s">
        <v>365</v>
      </c>
      <c r="C650" s="37">
        <v>0.75</v>
      </c>
      <c r="D650" s="37">
        <v>9</v>
      </c>
      <c r="E650" s="37">
        <v>1925</v>
      </c>
      <c r="F650" s="80">
        <f>E650*C650</f>
        <v>1443.75</v>
      </c>
      <c r="G650" s="80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62">
        <f>SUM(H650:V650)</f>
        <v>0</v>
      </c>
      <c r="X650" s="76">
        <f>C650*E650+W650</f>
        <v>1443.75</v>
      </c>
      <c r="Y650" s="80">
        <f>X650*12</f>
        <v>17325</v>
      </c>
    </row>
    <row r="651" spans="1:25" ht="18.75" customHeight="1">
      <c r="A651" s="37">
        <v>3</v>
      </c>
      <c r="B651" s="38" t="s">
        <v>366</v>
      </c>
      <c r="C651" s="37">
        <v>4</v>
      </c>
      <c r="D651" s="37">
        <v>8</v>
      </c>
      <c r="E651" s="62">
        <v>1825</v>
      </c>
      <c r="F651" s="80">
        <f>E651*C651</f>
        <v>7300</v>
      </c>
      <c r="G651" s="80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>
        <f>SUM(H651:V651)</f>
        <v>0</v>
      </c>
      <c r="X651" s="76">
        <f>C651*E651+W651</f>
        <v>7300</v>
      </c>
      <c r="Y651" s="80">
        <f>X651*12</f>
        <v>87600</v>
      </c>
    </row>
    <row r="652" spans="1:25" ht="19.5" customHeight="1">
      <c r="A652" s="37"/>
      <c r="B652" s="38"/>
      <c r="C652" s="83">
        <f>SUM(C649:C651)</f>
        <v>5.75</v>
      </c>
      <c r="D652" s="83"/>
      <c r="E652" s="83"/>
      <c r="F652" s="84">
        <f>SUM(F649:F651)</f>
        <v>11103.75</v>
      </c>
      <c r="G652" s="84"/>
      <c r="H652" s="84">
        <f aca="true" t="shared" si="181" ref="H652:Y652">SUM(H649:H651)</f>
        <v>0</v>
      </c>
      <c r="I652" s="84">
        <f t="shared" si="181"/>
        <v>0</v>
      </c>
      <c r="J652" s="84">
        <f t="shared" si="181"/>
        <v>0</v>
      </c>
      <c r="K652" s="84">
        <f t="shared" si="181"/>
        <v>0</v>
      </c>
      <c r="L652" s="84">
        <f t="shared" si="181"/>
        <v>0</v>
      </c>
      <c r="M652" s="84">
        <f t="shared" si="181"/>
        <v>0</v>
      </c>
      <c r="N652" s="84">
        <f t="shared" si="181"/>
        <v>0</v>
      </c>
      <c r="O652" s="84">
        <f t="shared" si="181"/>
        <v>0</v>
      </c>
      <c r="P652" s="84">
        <f t="shared" si="181"/>
        <v>0</v>
      </c>
      <c r="Q652" s="84">
        <f t="shared" si="181"/>
        <v>0</v>
      </c>
      <c r="R652" s="84">
        <f t="shared" si="181"/>
        <v>0</v>
      </c>
      <c r="S652" s="84">
        <f t="shared" si="181"/>
        <v>0</v>
      </c>
      <c r="T652" s="84">
        <f t="shared" si="181"/>
        <v>0</v>
      </c>
      <c r="U652" s="84">
        <f t="shared" si="181"/>
        <v>0</v>
      </c>
      <c r="V652" s="84">
        <f t="shared" si="181"/>
        <v>0</v>
      </c>
      <c r="W652" s="84">
        <f t="shared" si="181"/>
        <v>0</v>
      </c>
      <c r="X652" s="84">
        <f t="shared" si="181"/>
        <v>11103.75</v>
      </c>
      <c r="Y652" s="84">
        <f t="shared" si="181"/>
        <v>133245</v>
      </c>
    </row>
    <row r="653" spans="1:25" ht="17.25" customHeight="1">
      <c r="A653" s="287" t="s">
        <v>367</v>
      </c>
      <c r="B653" s="288"/>
      <c r="C653" s="288"/>
      <c r="D653" s="288"/>
      <c r="E653" s="288"/>
      <c r="F653" s="288"/>
      <c r="G653" s="288"/>
      <c r="H653" s="288"/>
      <c r="I653" s="288"/>
      <c r="J653" s="288"/>
      <c r="K653" s="288"/>
      <c r="L653" s="288"/>
      <c r="M653" s="288"/>
      <c r="N653" s="288"/>
      <c r="O653" s="288"/>
      <c r="P653" s="288"/>
      <c r="Q653" s="288"/>
      <c r="R653" s="288"/>
      <c r="S653" s="288"/>
      <c r="T653" s="288"/>
      <c r="U653" s="288"/>
      <c r="V653" s="288"/>
      <c r="W653" s="288"/>
      <c r="X653" s="288"/>
      <c r="Y653" s="289"/>
    </row>
    <row r="654" spans="1:25" ht="17.25" customHeight="1">
      <c r="A654" s="81">
        <v>1</v>
      </c>
      <c r="B654" s="63" t="s">
        <v>368</v>
      </c>
      <c r="C654" s="37">
        <v>1</v>
      </c>
      <c r="D654" s="62">
        <v>10</v>
      </c>
      <c r="E654" s="62">
        <v>2026</v>
      </c>
      <c r="F654" s="80">
        <f>E654*C654</f>
        <v>2026</v>
      </c>
      <c r="G654" s="80"/>
      <c r="H654" s="62"/>
      <c r="I654" s="42">
        <f>ROUNDUP(F654*20%,0)</f>
        <v>406</v>
      </c>
      <c r="J654" s="62"/>
      <c r="K654" s="62"/>
      <c r="L654" s="62"/>
      <c r="M654" s="62"/>
      <c r="N654" s="62">
        <f>ROUNDUP(F654*30%,0)</f>
        <v>608</v>
      </c>
      <c r="O654" s="62"/>
      <c r="P654" s="62"/>
      <c r="Q654" s="62"/>
      <c r="R654" s="62"/>
      <c r="S654" s="62"/>
      <c r="T654" s="62"/>
      <c r="U654" s="62"/>
      <c r="V654" s="62"/>
      <c r="W654" s="62">
        <f>SUM(H654:V654)</f>
        <v>1014</v>
      </c>
      <c r="X654" s="76">
        <f>C654*E654+W654</f>
        <v>3040</v>
      </c>
      <c r="Y654" s="80">
        <f>X654*12</f>
        <v>36480</v>
      </c>
    </row>
    <row r="655" spans="1:25" ht="17.25" customHeight="1">
      <c r="A655" s="81">
        <v>2</v>
      </c>
      <c r="B655" s="38" t="s">
        <v>369</v>
      </c>
      <c r="C655" s="37">
        <v>1</v>
      </c>
      <c r="D655" s="37">
        <v>9</v>
      </c>
      <c r="E655" s="37">
        <v>1925</v>
      </c>
      <c r="F655" s="80">
        <f>E655*C655</f>
        <v>1925</v>
      </c>
      <c r="G655" s="80"/>
      <c r="H655" s="62"/>
      <c r="I655" s="42">
        <f>ROUNDUP(F655*20%,0)</f>
        <v>385</v>
      </c>
      <c r="J655" s="62"/>
      <c r="K655" s="62"/>
      <c r="L655" s="62"/>
      <c r="M655" s="62"/>
      <c r="N655" s="62">
        <f>ROUNDUP(F655*30%,0)</f>
        <v>578</v>
      </c>
      <c r="O655" s="62"/>
      <c r="P655" s="62"/>
      <c r="Q655" s="62"/>
      <c r="R655" s="62"/>
      <c r="S655" s="62"/>
      <c r="T655" s="62"/>
      <c r="U655" s="62"/>
      <c r="V655" s="62"/>
      <c r="W655" s="62">
        <f>SUM(H655:V655)</f>
        <v>963</v>
      </c>
      <c r="X655" s="76">
        <f>C655*E655+W655</f>
        <v>2888</v>
      </c>
      <c r="Y655" s="80">
        <f>X655*12</f>
        <v>34656</v>
      </c>
    </row>
    <row r="656" spans="1:25" ht="21" customHeight="1">
      <c r="A656" s="81">
        <v>3</v>
      </c>
      <c r="B656" s="38" t="s">
        <v>370</v>
      </c>
      <c r="C656" s="40">
        <f>1.75-1</f>
        <v>0.75</v>
      </c>
      <c r="D656" s="37">
        <v>8</v>
      </c>
      <c r="E656" s="62">
        <v>1825</v>
      </c>
      <c r="F656" s="80">
        <f>E656*C656</f>
        <v>1368.75</v>
      </c>
      <c r="G656" s="80"/>
      <c r="H656" s="62"/>
      <c r="I656" s="42">
        <f>ROUNDUP(F656*20%,0)</f>
        <v>274</v>
      </c>
      <c r="J656" s="62"/>
      <c r="K656" s="62"/>
      <c r="L656" s="62"/>
      <c r="M656" s="62"/>
      <c r="N656" s="62">
        <f>ROUNDUP(F656*30%,0)</f>
        <v>411</v>
      </c>
      <c r="O656" s="62"/>
      <c r="P656" s="62"/>
      <c r="Q656" s="62"/>
      <c r="R656" s="62"/>
      <c r="S656" s="62"/>
      <c r="T656" s="62"/>
      <c r="U656" s="62"/>
      <c r="V656" s="62"/>
      <c r="W656" s="62">
        <f>SUM(H656:V656)</f>
        <v>685</v>
      </c>
      <c r="X656" s="76">
        <f>C656*E656+W656</f>
        <v>2053.75</v>
      </c>
      <c r="Y656" s="80">
        <f>X656*12</f>
        <v>24645</v>
      </c>
    </row>
    <row r="657" spans="1:29" ht="24.75" customHeight="1">
      <c r="A657" s="37"/>
      <c r="B657" s="38"/>
      <c r="C657" s="83">
        <f>SUM(C654:C656)</f>
        <v>2.75</v>
      </c>
      <c r="D657" s="83"/>
      <c r="E657" s="62"/>
      <c r="F657" s="70">
        <f>SUM(F654:F656)</f>
        <v>5319.75</v>
      </c>
      <c r="G657" s="70"/>
      <c r="H657" s="71">
        <f aca="true" t="shared" si="182" ref="H657:AC657">SUM(H654:H656)</f>
        <v>0</v>
      </c>
      <c r="I657" s="71">
        <f t="shared" si="182"/>
        <v>1065</v>
      </c>
      <c r="J657" s="71">
        <f t="shared" si="182"/>
        <v>0</v>
      </c>
      <c r="K657" s="71">
        <f t="shared" si="182"/>
        <v>0</v>
      </c>
      <c r="L657" s="71">
        <f t="shared" si="182"/>
        <v>0</v>
      </c>
      <c r="M657" s="71">
        <f t="shared" si="182"/>
        <v>0</v>
      </c>
      <c r="N657" s="71">
        <f t="shared" si="182"/>
        <v>1597</v>
      </c>
      <c r="O657" s="71">
        <f t="shared" si="182"/>
        <v>0</v>
      </c>
      <c r="P657" s="71">
        <f t="shared" si="182"/>
        <v>0</v>
      </c>
      <c r="Q657" s="71">
        <f t="shared" si="182"/>
        <v>0</v>
      </c>
      <c r="R657" s="71">
        <f t="shared" si="182"/>
        <v>0</v>
      </c>
      <c r="S657" s="71">
        <f t="shared" si="182"/>
        <v>0</v>
      </c>
      <c r="T657" s="71">
        <f t="shared" si="182"/>
        <v>0</v>
      </c>
      <c r="U657" s="71">
        <f t="shared" si="182"/>
        <v>0</v>
      </c>
      <c r="V657" s="71">
        <f t="shared" si="182"/>
        <v>0</v>
      </c>
      <c r="W657" s="71">
        <f t="shared" si="182"/>
        <v>2662</v>
      </c>
      <c r="X657" s="70">
        <f t="shared" si="182"/>
        <v>7981.75</v>
      </c>
      <c r="Y657" s="70">
        <f t="shared" si="182"/>
        <v>95781</v>
      </c>
      <c r="Z657" s="70">
        <f t="shared" si="182"/>
        <v>0</v>
      </c>
      <c r="AA657" s="70">
        <f t="shared" si="182"/>
        <v>0</v>
      </c>
      <c r="AB657" s="70">
        <f t="shared" si="182"/>
        <v>0</v>
      </c>
      <c r="AC657" s="70">
        <f t="shared" si="182"/>
        <v>0</v>
      </c>
    </row>
    <row r="658" spans="1:25" ht="15.75" customHeight="1">
      <c r="A658" s="287" t="s">
        <v>371</v>
      </c>
      <c r="B658" s="288"/>
      <c r="C658" s="288"/>
      <c r="D658" s="288"/>
      <c r="E658" s="288"/>
      <c r="F658" s="288"/>
      <c r="G658" s="288"/>
      <c r="H658" s="288"/>
      <c r="I658" s="288"/>
      <c r="J658" s="288"/>
      <c r="K658" s="288"/>
      <c r="L658" s="288"/>
      <c r="M658" s="288"/>
      <c r="N658" s="288"/>
      <c r="O658" s="288"/>
      <c r="P658" s="288"/>
      <c r="Q658" s="288"/>
      <c r="R658" s="288"/>
      <c r="S658" s="288"/>
      <c r="T658" s="288"/>
      <c r="U658" s="288"/>
      <c r="V658" s="288"/>
      <c r="W658" s="288"/>
      <c r="X658" s="288"/>
      <c r="Y658" s="289"/>
    </row>
    <row r="659" spans="1:25" ht="29.25" customHeight="1">
      <c r="A659" s="37">
        <v>1</v>
      </c>
      <c r="B659" s="38" t="s">
        <v>92</v>
      </c>
      <c r="C659" s="37">
        <v>0.25</v>
      </c>
      <c r="D659" s="37">
        <v>5</v>
      </c>
      <c r="E659" s="62">
        <v>1514</v>
      </c>
      <c r="F659" s="80">
        <f>E659*C659</f>
        <v>378.5</v>
      </c>
      <c r="G659" s="80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>
        <f>SUM(H659:V659)</f>
        <v>0</v>
      </c>
      <c r="X659" s="76">
        <f>C659*E659+W659</f>
        <v>378.5</v>
      </c>
      <c r="Y659" s="80">
        <f>X659*12</f>
        <v>4542</v>
      </c>
    </row>
    <row r="660" spans="1:25" ht="30.75" customHeight="1">
      <c r="A660" s="81">
        <v>2</v>
      </c>
      <c r="B660" s="63" t="s">
        <v>368</v>
      </c>
      <c r="C660" s="37">
        <v>1</v>
      </c>
      <c r="D660" s="62">
        <v>10</v>
      </c>
      <c r="E660" s="62">
        <v>2026</v>
      </c>
      <c r="F660" s="80">
        <f>E660*C660</f>
        <v>2026</v>
      </c>
      <c r="G660" s="80"/>
      <c r="H660" s="62"/>
      <c r="I660" s="42">
        <f>ROUNDUP(F660*20%,0)</f>
        <v>406</v>
      </c>
      <c r="J660" s="62"/>
      <c r="K660" s="62"/>
      <c r="L660" s="62"/>
      <c r="M660" s="62"/>
      <c r="N660" s="62">
        <f>ROUNDUP(F660*30%,0)</f>
        <v>608</v>
      </c>
      <c r="O660" s="62"/>
      <c r="P660" s="62"/>
      <c r="Q660" s="62"/>
      <c r="R660" s="62"/>
      <c r="S660" s="62"/>
      <c r="T660" s="62"/>
      <c r="U660" s="62"/>
      <c r="V660" s="62"/>
      <c r="W660" s="62">
        <f>SUM(H660:V660)</f>
        <v>1014</v>
      </c>
      <c r="X660" s="76">
        <f>C660*E660+W660</f>
        <v>3040</v>
      </c>
      <c r="Y660" s="80">
        <f>X660*12</f>
        <v>36480</v>
      </c>
    </row>
    <row r="661" spans="1:25" ht="26.25" customHeight="1">
      <c r="A661" s="37"/>
      <c r="B661" s="38"/>
      <c r="C661" s="83">
        <f>SUM(C659:C660)</f>
        <v>1.25</v>
      </c>
      <c r="D661" s="83"/>
      <c r="E661" s="62"/>
      <c r="F661" s="70">
        <f>SUM(F659:F660)</f>
        <v>2404.5</v>
      </c>
      <c r="G661" s="70"/>
      <c r="H661" s="129">
        <f aca="true" t="shared" si="183" ref="H661:Y661">SUM(H659:H660)</f>
        <v>0</v>
      </c>
      <c r="I661" s="129">
        <f t="shared" si="183"/>
        <v>406</v>
      </c>
      <c r="J661" s="129">
        <f t="shared" si="183"/>
        <v>0</v>
      </c>
      <c r="K661" s="129">
        <f t="shared" si="183"/>
        <v>0</v>
      </c>
      <c r="L661" s="129">
        <f t="shared" si="183"/>
        <v>0</v>
      </c>
      <c r="M661" s="129">
        <f t="shared" si="183"/>
        <v>0</v>
      </c>
      <c r="N661" s="129">
        <f t="shared" si="183"/>
        <v>608</v>
      </c>
      <c r="O661" s="129">
        <f t="shared" si="183"/>
        <v>0</v>
      </c>
      <c r="P661" s="129">
        <f t="shared" si="183"/>
        <v>0</v>
      </c>
      <c r="Q661" s="129">
        <f t="shared" si="183"/>
        <v>0</v>
      </c>
      <c r="R661" s="129">
        <f t="shared" si="183"/>
        <v>0</v>
      </c>
      <c r="S661" s="129">
        <f t="shared" si="183"/>
        <v>0</v>
      </c>
      <c r="T661" s="129">
        <f t="shared" si="183"/>
        <v>0</v>
      </c>
      <c r="U661" s="129">
        <f t="shared" si="183"/>
        <v>0</v>
      </c>
      <c r="V661" s="129">
        <f t="shared" si="183"/>
        <v>0</v>
      </c>
      <c r="W661" s="62">
        <f t="shared" si="183"/>
        <v>1014</v>
      </c>
      <c r="X661" s="70">
        <f t="shared" si="183"/>
        <v>3418.5</v>
      </c>
      <c r="Y661" s="70">
        <f t="shared" si="183"/>
        <v>41022</v>
      </c>
    </row>
    <row r="662" spans="1:25" ht="22.5" customHeight="1">
      <c r="A662" s="287" t="s">
        <v>184</v>
      </c>
      <c r="B662" s="288"/>
      <c r="C662" s="288"/>
      <c r="D662" s="288"/>
      <c r="E662" s="288"/>
      <c r="F662" s="288"/>
      <c r="G662" s="288"/>
      <c r="H662" s="288"/>
      <c r="I662" s="288"/>
      <c r="J662" s="288"/>
      <c r="K662" s="288"/>
      <c r="L662" s="288"/>
      <c r="M662" s="288"/>
      <c r="N662" s="288"/>
      <c r="O662" s="288"/>
      <c r="P662" s="288"/>
      <c r="Q662" s="288"/>
      <c r="R662" s="288"/>
      <c r="S662" s="288"/>
      <c r="T662" s="288"/>
      <c r="U662" s="288"/>
      <c r="V662" s="288"/>
      <c r="W662" s="288"/>
      <c r="X662" s="288"/>
      <c r="Y662" s="289"/>
    </row>
    <row r="663" spans="1:25" ht="22.5" customHeight="1">
      <c r="A663" s="37">
        <v>1</v>
      </c>
      <c r="B663" s="63" t="s">
        <v>189</v>
      </c>
      <c r="C663" s="65">
        <v>3</v>
      </c>
      <c r="D663" s="65">
        <v>12</v>
      </c>
      <c r="E663" s="40">
        <v>2360</v>
      </c>
      <c r="F663" s="41">
        <f aca="true" t="shared" si="184" ref="F663:F669">E663*C663</f>
        <v>7080</v>
      </c>
      <c r="G663" s="41"/>
      <c r="H663" s="66">
        <f aca="true" t="shared" si="185" ref="H663:H669">ROUNDUP(F663*50%,0)</f>
        <v>3540</v>
      </c>
      <c r="I663" s="66"/>
      <c r="J663" s="42"/>
      <c r="K663" s="42"/>
      <c r="L663" s="42"/>
      <c r="M663" s="42"/>
      <c r="N663" s="66">
        <f aca="true" t="shared" si="186" ref="N663:N669">ROUNDUP(F663*30%,0)</f>
        <v>2124</v>
      </c>
      <c r="O663" s="42"/>
      <c r="P663" s="42"/>
      <c r="Q663" s="42"/>
      <c r="R663" s="42"/>
      <c r="S663" s="42"/>
      <c r="T663" s="42"/>
      <c r="U663" s="42"/>
      <c r="V663" s="42"/>
      <c r="W663" s="42">
        <f aca="true" t="shared" si="187" ref="W663:W670">SUM(H663:V663)</f>
        <v>5664</v>
      </c>
      <c r="X663" s="41">
        <f aca="true" t="shared" si="188" ref="X663:X670">C663*E663+W663</f>
        <v>12744</v>
      </c>
      <c r="Y663" s="80">
        <f aca="true" t="shared" si="189" ref="Y663:Y670">X663*12</f>
        <v>152928</v>
      </c>
    </row>
    <row r="664" spans="1:25" ht="22.5" customHeight="1">
      <c r="A664" s="37">
        <v>2</v>
      </c>
      <c r="B664" s="63" t="s">
        <v>188</v>
      </c>
      <c r="C664" s="65">
        <v>1</v>
      </c>
      <c r="D664" s="65">
        <v>13</v>
      </c>
      <c r="E664" s="40">
        <v>2527</v>
      </c>
      <c r="F664" s="41">
        <f t="shared" si="184"/>
        <v>2527</v>
      </c>
      <c r="G664" s="41"/>
      <c r="H664" s="66">
        <f t="shared" si="185"/>
        <v>1264</v>
      </c>
      <c r="I664" s="66"/>
      <c r="J664" s="42"/>
      <c r="K664" s="42"/>
      <c r="L664" s="42"/>
      <c r="M664" s="42"/>
      <c r="N664" s="66">
        <f t="shared" si="186"/>
        <v>759</v>
      </c>
      <c r="O664" s="42"/>
      <c r="P664" s="42"/>
      <c r="Q664" s="42"/>
      <c r="R664" s="42"/>
      <c r="S664" s="42"/>
      <c r="T664" s="42"/>
      <c r="U664" s="42"/>
      <c r="V664" s="42"/>
      <c r="W664" s="42">
        <f t="shared" si="187"/>
        <v>2023</v>
      </c>
      <c r="X664" s="41">
        <f t="shared" si="188"/>
        <v>4550</v>
      </c>
      <c r="Y664" s="80">
        <f t="shared" si="189"/>
        <v>54600</v>
      </c>
    </row>
    <row r="665" spans="1:25" ht="22.5" customHeight="1">
      <c r="A665" s="37">
        <v>3</v>
      </c>
      <c r="B665" s="38" t="s">
        <v>369</v>
      </c>
      <c r="C665" s="65">
        <v>1</v>
      </c>
      <c r="D665" s="65">
        <v>9</v>
      </c>
      <c r="E665" s="40">
        <v>1925</v>
      </c>
      <c r="F665" s="41">
        <f t="shared" si="184"/>
        <v>1925</v>
      </c>
      <c r="G665" s="41"/>
      <c r="H665" s="66">
        <f t="shared" si="185"/>
        <v>963</v>
      </c>
      <c r="I665" s="66"/>
      <c r="J665" s="42"/>
      <c r="K665" s="42"/>
      <c r="L665" s="42"/>
      <c r="M665" s="42"/>
      <c r="N665" s="66">
        <f t="shared" si="186"/>
        <v>578</v>
      </c>
      <c r="O665" s="42"/>
      <c r="P665" s="42"/>
      <c r="Q665" s="42"/>
      <c r="R665" s="42"/>
      <c r="S665" s="42"/>
      <c r="T665" s="42"/>
      <c r="U665" s="42"/>
      <c r="V665" s="42"/>
      <c r="W665" s="42">
        <f t="shared" si="187"/>
        <v>1541</v>
      </c>
      <c r="X665" s="41">
        <f t="shared" si="188"/>
        <v>3466</v>
      </c>
      <c r="Y665" s="80">
        <f t="shared" si="189"/>
        <v>41592</v>
      </c>
    </row>
    <row r="666" spans="1:25" ht="22.5" customHeight="1">
      <c r="A666" s="37">
        <v>4</v>
      </c>
      <c r="B666" s="63" t="s">
        <v>190</v>
      </c>
      <c r="C666" s="65">
        <v>1</v>
      </c>
      <c r="D666" s="65">
        <v>12</v>
      </c>
      <c r="E666" s="40">
        <v>2360</v>
      </c>
      <c r="F666" s="41">
        <f t="shared" si="184"/>
        <v>2360</v>
      </c>
      <c r="G666" s="41"/>
      <c r="H666" s="66">
        <f t="shared" si="185"/>
        <v>1180</v>
      </c>
      <c r="I666" s="66"/>
      <c r="J666" s="42"/>
      <c r="K666" s="42"/>
      <c r="L666" s="42"/>
      <c r="M666" s="42"/>
      <c r="N666" s="66">
        <f t="shared" si="186"/>
        <v>708</v>
      </c>
      <c r="O666" s="42"/>
      <c r="P666" s="42"/>
      <c r="Q666" s="42"/>
      <c r="R666" s="42"/>
      <c r="S666" s="42"/>
      <c r="T666" s="42"/>
      <c r="U666" s="42"/>
      <c r="V666" s="42"/>
      <c r="W666" s="42">
        <f t="shared" si="187"/>
        <v>1888</v>
      </c>
      <c r="X666" s="41">
        <f t="shared" si="188"/>
        <v>4248</v>
      </c>
      <c r="Y666" s="80">
        <f t="shared" si="189"/>
        <v>50976</v>
      </c>
    </row>
    <row r="667" spans="1:25" ht="22.5" customHeight="1">
      <c r="A667" s="37">
        <v>5</v>
      </c>
      <c r="B667" s="63" t="s">
        <v>192</v>
      </c>
      <c r="C667" s="65">
        <f>4-0.5</f>
        <v>3.5</v>
      </c>
      <c r="D667" s="65">
        <v>10</v>
      </c>
      <c r="E667" s="40">
        <v>2026</v>
      </c>
      <c r="F667" s="41">
        <f t="shared" si="184"/>
        <v>7091</v>
      </c>
      <c r="G667" s="41"/>
      <c r="H667" s="66">
        <f t="shared" si="185"/>
        <v>3546</v>
      </c>
      <c r="I667" s="66"/>
      <c r="J667" s="42"/>
      <c r="K667" s="42"/>
      <c r="L667" s="42"/>
      <c r="M667" s="42"/>
      <c r="N667" s="66">
        <f t="shared" si="186"/>
        <v>2128</v>
      </c>
      <c r="O667" s="42"/>
      <c r="P667" s="42"/>
      <c r="Q667" s="42"/>
      <c r="R667" s="42"/>
      <c r="S667" s="42"/>
      <c r="T667" s="42"/>
      <c r="U667" s="42"/>
      <c r="V667" s="42"/>
      <c r="W667" s="42">
        <f t="shared" si="187"/>
        <v>5674</v>
      </c>
      <c r="X667" s="41">
        <f t="shared" si="188"/>
        <v>12765</v>
      </c>
      <c r="Y667" s="80">
        <f t="shared" si="189"/>
        <v>153180</v>
      </c>
    </row>
    <row r="668" spans="1:25" ht="22.5" customHeight="1">
      <c r="A668" s="37">
        <v>6</v>
      </c>
      <c r="B668" s="63" t="s">
        <v>194</v>
      </c>
      <c r="C668" s="65">
        <f>10.5-3.5-0.5</f>
        <v>6.5</v>
      </c>
      <c r="D668" s="65">
        <v>9</v>
      </c>
      <c r="E668" s="40">
        <v>1925</v>
      </c>
      <c r="F668" s="41">
        <f t="shared" si="184"/>
        <v>12512.5</v>
      </c>
      <c r="G668" s="41"/>
      <c r="H668" s="66">
        <f t="shared" si="185"/>
        <v>6257</v>
      </c>
      <c r="I668" s="66"/>
      <c r="J668" s="42"/>
      <c r="K668" s="42"/>
      <c r="L668" s="42"/>
      <c r="M668" s="66">
        <f>ROUNDUP(E668*10%,0)</f>
        <v>193</v>
      </c>
      <c r="N668" s="66">
        <f t="shared" si="186"/>
        <v>3754</v>
      </c>
      <c r="O668" s="42"/>
      <c r="P668" s="42"/>
      <c r="Q668" s="42"/>
      <c r="R668" s="42"/>
      <c r="S668" s="42"/>
      <c r="T668" s="42"/>
      <c r="U668" s="42"/>
      <c r="V668" s="42"/>
      <c r="W668" s="42">
        <f t="shared" si="187"/>
        <v>10204</v>
      </c>
      <c r="X668" s="41">
        <f t="shared" si="188"/>
        <v>22716.5</v>
      </c>
      <c r="Y668" s="80">
        <f t="shared" si="189"/>
        <v>272598</v>
      </c>
    </row>
    <row r="669" spans="1:25" ht="22.5" customHeight="1">
      <c r="A669" s="37">
        <v>7</v>
      </c>
      <c r="B669" s="63" t="s">
        <v>372</v>
      </c>
      <c r="C669" s="65">
        <f>5.5-1.5</f>
        <v>4</v>
      </c>
      <c r="D669" s="65">
        <v>8</v>
      </c>
      <c r="E669" s="40">
        <v>1825</v>
      </c>
      <c r="F669" s="41">
        <f t="shared" si="184"/>
        <v>7300</v>
      </c>
      <c r="G669" s="41"/>
      <c r="H669" s="66">
        <f t="shared" si="185"/>
        <v>3650</v>
      </c>
      <c r="I669" s="66"/>
      <c r="J669" s="42"/>
      <c r="K669" s="42"/>
      <c r="L669" s="42"/>
      <c r="M669" s="42"/>
      <c r="N669" s="66">
        <f t="shared" si="186"/>
        <v>2190</v>
      </c>
      <c r="O669" s="42"/>
      <c r="P669" s="42"/>
      <c r="Q669" s="42"/>
      <c r="R669" s="42"/>
      <c r="S669" s="42"/>
      <c r="T669" s="42"/>
      <c r="U669" s="42"/>
      <c r="V669" s="42"/>
      <c r="W669" s="42">
        <f t="shared" si="187"/>
        <v>5840</v>
      </c>
      <c r="X669" s="41">
        <f t="shared" si="188"/>
        <v>13140</v>
      </c>
      <c r="Y669" s="80">
        <f t="shared" si="189"/>
        <v>157680</v>
      </c>
    </row>
    <row r="670" spans="1:25" ht="18.75" customHeight="1">
      <c r="A670" s="37"/>
      <c r="B670" s="63"/>
      <c r="C670" s="62"/>
      <c r="D670" s="62"/>
      <c r="E670" s="62"/>
      <c r="F670" s="80"/>
      <c r="G670" s="80"/>
      <c r="H670" s="62"/>
      <c r="I670" s="62"/>
      <c r="J670" s="62">
        <f>ROUNDUP(E664*15%,0)</f>
        <v>380</v>
      </c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37">
        <f t="shared" si="187"/>
        <v>380</v>
      </c>
      <c r="X670" s="41">
        <f t="shared" si="188"/>
        <v>380</v>
      </c>
      <c r="Y670" s="80">
        <f t="shared" si="189"/>
        <v>4560</v>
      </c>
    </row>
    <row r="671" spans="1:25" ht="24.75" customHeight="1">
      <c r="A671" s="81"/>
      <c r="B671" s="63"/>
      <c r="C671" s="83">
        <f>SUM(C663:C670)</f>
        <v>20</v>
      </c>
      <c r="D671" s="62"/>
      <c r="E671" s="62"/>
      <c r="F671" s="70">
        <f>SUM(F663:F670)</f>
        <v>40795.5</v>
      </c>
      <c r="G671" s="70"/>
      <c r="H671" s="71">
        <f aca="true" t="shared" si="190" ref="H671:Y671">SUM(H663:H670)</f>
        <v>20400</v>
      </c>
      <c r="I671" s="71">
        <f t="shared" si="190"/>
        <v>0</v>
      </c>
      <c r="J671" s="71">
        <f t="shared" si="190"/>
        <v>380</v>
      </c>
      <c r="K671" s="71">
        <f t="shared" si="190"/>
        <v>0</v>
      </c>
      <c r="L671" s="71">
        <f t="shared" si="190"/>
        <v>0</v>
      </c>
      <c r="M671" s="71">
        <f t="shared" si="190"/>
        <v>193</v>
      </c>
      <c r="N671" s="71">
        <f t="shared" si="190"/>
        <v>12241</v>
      </c>
      <c r="O671" s="71">
        <f t="shared" si="190"/>
        <v>0</v>
      </c>
      <c r="P671" s="71">
        <f t="shared" si="190"/>
        <v>0</v>
      </c>
      <c r="Q671" s="71">
        <f t="shared" si="190"/>
        <v>0</v>
      </c>
      <c r="R671" s="71">
        <f t="shared" si="190"/>
        <v>0</v>
      </c>
      <c r="S671" s="71">
        <f t="shared" si="190"/>
        <v>0</v>
      </c>
      <c r="T671" s="71">
        <f t="shared" si="190"/>
        <v>0</v>
      </c>
      <c r="U671" s="71">
        <f t="shared" si="190"/>
        <v>0</v>
      </c>
      <c r="V671" s="71">
        <f t="shared" si="190"/>
        <v>0</v>
      </c>
      <c r="W671" s="71">
        <f t="shared" si="190"/>
        <v>33214</v>
      </c>
      <c r="X671" s="70">
        <f t="shared" si="190"/>
        <v>74009.5</v>
      </c>
      <c r="Y671" s="70">
        <f t="shared" si="190"/>
        <v>888114</v>
      </c>
    </row>
    <row r="672" spans="1:25" ht="15.75" customHeight="1">
      <c r="A672" s="287" t="s">
        <v>373</v>
      </c>
      <c r="B672" s="288"/>
      <c r="C672" s="288"/>
      <c r="D672" s="288"/>
      <c r="E672" s="288"/>
      <c r="F672" s="288"/>
      <c r="G672" s="288"/>
      <c r="H672" s="288"/>
      <c r="I672" s="288"/>
      <c r="J672" s="288"/>
      <c r="K672" s="288"/>
      <c r="L672" s="288"/>
      <c r="M672" s="288"/>
      <c r="N672" s="288"/>
      <c r="O672" s="288"/>
      <c r="P672" s="288"/>
      <c r="Q672" s="288"/>
      <c r="R672" s="288"/>
      <c r="S672" s="288"/>
      <c r="T672" s="288"/>
      <c r="U672" s="288"/>
      <c r="V672" s="288"/>
      <c r="W672" s="288"/>
      <c r="X672" s="289"/>
      <c r="Y672" s="152"/>
    </row>
    <row r="673" spans="1:25" ht="24.75" customHeight="1">
      <c r="A673" s="62">
        <v>1</v>
      </c>
      <c r="B673" s="63" t="s">
        <v>374</v>
      </c>
      <c r="C673" s="62">
        <v>1</v>
      </c>
      <c r="D673" s="62">
        <v>9</v>
      </c>
      <c r="E673" s="37">
        <v>1925</v>
      </c>
      <c r="F673" s="76">
        <f>E673*C673</f>
        <v>1925</v>
      </c>
      <c r="G673" s="76"/>
      <c r="H673" s="76"/>
      <c r="I673" s="76"/>
      <c r="J673" s="42"/>
      <c r="K673" s="42"/>
      <c r="L673" s="42"/>
      <c r="M673" s="42"/>
      <c r="N673" s="40">
        <f>ROUNDUP(F673*30%,0)</f>
        <v>578</v>
      </c>
      <c r="O673" s="42"/>
      <c r="P673" s="42"/>
      <c r="Q673" s="42"/>
      <c r="R673" s="42"/>
      <c r="S673" s="42"/>
      <c r="T673" s="42"/>
      <c r="U673" s="42"/>
      <c r="V673" s="42"/>
      <c r="W673" s="42">
        <f>SUM(H673:V673)</f>
        <v>578</v>
      </c>
      <c r="X673" s="41">
        <f>C673*E673+W673</f>
        <v>2503</v>
      </c>
      <c r="Y673" s="153">
        <f>X673*12</f>
        <v>30036</v>
      </c>
    </row>
    <row r="674" spans="1:25" ht="24.75" customHeight="1">
      <c r="A674" s="62"/>
      <c r="B674" s="63"/>
      <c r="C674" s="48">
        <f>SUM(C673:C673)</f>
        <v>1</v>
      </c>
      <c r="D674" s="48"/>
      <c r="E674" s="48"/>
      <c r="F674" s="84">
        <f>SUM(F673:F673)</f>
        <v>1925</v>
      </c>
      <c r="G674" s="84"/>
      <c r="H674" s="91">
        <f aca="true" t="shared" si="191" ref="H674:Y674">SUM(H673:H673)</f>
        <v>0</v>
      </c>
      <c r="I674" s="91">
        <f t="shared" si="191"/>
        <v>0</v>
      </c>
      <c r="J674" s="91">
        <f t="shared" si="191"/>
        <v>0</v>
      </c>
      <c r="K674" s="91">
        <f t="shared" si="191"/>
        <v>0</v>
      </c>
      <c r="L674" s="91">
        <f t="shared" si="191"/>
        <v>0</v>
      </c>
      <c r="M674" s="91">
        <f t="shared" si="191"/>
        <v>0</v>
      </c>
      <c r="N674" s="91">
        <f t="shared" si="191"/>
        <v>578</v>
      </c>
      <c r="O674" s="91">
        <f t="shared" si="191"/>
        <v>0</v>
      </c>
      <c r="P674" s="91">
        <f t="shared" si="191"/>
        <v>0</v>
      </c>
      <c r="Q674" s="91">
        <f t="shared" si="191"/>
        <v>0</v>
      </c>
      <c r="R674" s="91">
        <f t="shared" si="191"/>
        <v>0</v>
      </c>
      <c r="S674" s="91">
        <f t="shared" si="191"/>
        <v>0</v>
      </c>
      <c r="T674" s="91">
        <f t="shared" si="191"/>
        <v>0</v>
      </c>
      <c r="U674" s="91">
        <f t="shared" si="191"/>
        <v>0</v>
      </c>
      <c r="V674" s="91">
        <f t="shared" si="191"/>
        <v>0</v>
      </c>
      <c r="W674" s="91">
        <f t="shared" si="191"/>
        <v>578</v>
      </c>
      <c r="X674" s="84">
        <f t="shared" si="191"/>
        <v>2503</v>
      </c>
      <c r="Y674" s="84">
        <f t="shared" si="191"/>
        <v>30036</v>
      </c>
    </row>
    <row r="675" spans="1:25" ht="18" customHeight="1">
      <c r="A675" s="287" t="s">
        <v>375</v>
      </c>
      <c r="B675" s="288"/>
      <c r="C675" s="288"/>
      <c r="D675" s="288"/>
      <c r="E675" s="288"/>
      <c r="F675" s="288"/>
      <c r="G675" s="288"/>
      <c r="H675" s="288"/>
      <c r="I675" s="288"/>
      <c r="J675" s="288"/>
      <c r="K675" s="288"/>
      <c r="L675" s="288"/>
      <c r="M675" s="288"/>
      <c r="N675" s="288"/>
      <c r="O675" s="288"/>
      <c r="P675" s="288"/>
      <c r="Q675" s="288"/>
      <c r="R675" s="288"/>
      <c r="S675" s="288"/>
      <c r="T675" s="288"/>
      <c r="U675" s="288"/>
      <c r="V675" s="288"/>
      <c r="W675" s="288"/>
      <c r="X675" s="288"/>
      <c r="Y675" s="289"/>
    </row>
    <row r="676" spans="1:25" ht="24.75" customHeight="1">
      <c r="A676" s="37">
        <v>1</v>
      </c>
      <c r="B676" s="38" t="s">
        <v>289</v>
      </c>
      <c r="C676" s="37">
        <v>9</v>
      </c>
      <c r="D676" s="37">
        <v>2</v>
      </c>
      <c r="E676" s="62">
        <v>1383</v>
      </c>
      <c r="F676" s="80">
        <f>E676*C676</f>
        <v>12447</v>
      </c>
      <c r="G676" s="80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>
        <f>SUM(H676:V676)</f>
        <v>0</v>
      </c>
      <c r="X676" s="76">
        <f>C676*E676+W676</f>
        <v>12447</v>
      </c>
      <c r="Y676" s="76">
        <f>X676*12</f>
        <v>149364</v>
      </c>
    </row>
    <row r="677" spans="1:25" ht="24.75" customHeight="1">
      <c r="A677" s="62">
        <v>2</v>
      </c>
      <c r="B677" s="108" t="s">
        <v>376</v>
      </c>
      <c r="C677" s="62">
        <v>0.5</v>
      </c>
      <c r="D677" s="62">
        <v>3</v>
      </c>
      <c r="E677" s="37">
        <v>1393</v>
      </c>
      <c r="F677" s="76">
        <f>E677*C677</f>
        <v>696.5</v>
      </c>
      <c r="G677" s="76"/>
      <c r="H677" s="43"/>
      <c r="I677" s="43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3">
        <f>SUM(H677:V677)</f>
        <v>0</v>
      </c>
      <c r="X677" s="41">
        <f>C677*E677+W677</f>
        <v>696.5</v>
      </c>
      <c r="Y677" s="76">
        <f>X677*12</f>
        <v>8358</v>
      </c>
    </row>
    <row r="678" spans="1:25" ht="24.75" customHeight="1">
      <c r="A678" s="37"/>
      <c r="B678" s="38"/>
      <c r="C678" s="74">
        <f>SUM(C676:C677)</f>
        <v>9.5</v>
      </c>
      <c r="D678" s="74"/>
      <c r="E678" s="62"/>
      <c r="F678" s="70">
        <f>SUM(F676:F677)</f>
        <v>13143.5</v>
      </c>
      <c r="G678" s="70"/>
      <c r="H678" s="71">
        <f aca="true" t="shared" si="192" ref="H678:Y678">SUM(H676:H677)</f>
        <v>0</v>
      </c>
      <c r="I678" s="71">
        <f t="shared" si="192"/>
        <v>0</v>
      </c>
      <c r="J678" s="71">
        <f t="shared" si="192"/>
        <v>0</v>
      </c>
      <c r="K678" s="71">
        <f t="shared" si="192"/>
        <v>0</v>
      </c>
      <c r="L678" s="71">
        <f t="shared" si="192"/>
        <v>0</v>
      </c>
      <c r="M678" s="71">
        <f t="shared" si="192"/>
        <v>0</v>
      </c>
      <c r="N678" s="71">
        <f t="shared" si="192"/>
        <v>0</v>
      </c>
      <c r="O678" s="71">
        <f t="shared" si="192"/>
        <v>0</v>
      </c>
      <c r="P678" s="71">
        <f t="shared" si="192"/>
        <v>0</v>
      </c>
      <c r="Q678" s="71">
        <f t="shared" si="192"/>
        <v>0</v>
      </c>
      <c r="R678" s="71">
        <f t="shared" si="192"/>
        <v>0</v>
      </c>
      <c r="S678" s="71">
        <f t="shared" si="192"/>
        <v>0</v>
      </c>
      <c r="T678" s="71">
        <f t="shared" si="192"/>
        <v>0</v>
      </c>
      <c r="U678" s="71">
        <f t="shared" si="192"/>
        <v>0</v>
      </c>
      <c r="V678" s="71">
        <f t="shared" si="192"/>
        <v>0</v>
      </c>
      <c r="W678" s="71">
        <f t="shared" si="192"/>
        <v>0</v>
      </c>
      <c r="X678" s="70">
        <f t="shared" si="192"/>
        <v>13143.5</v>
      </c>
      <c r="Y678" s="70">
        <f t="shared" si="192"/>
        <v>157722</v>
      </c>
    </row>
    <row r="679" spans="1:25" ht="18.75" customHeight="1">
      <c r="A679" s="287" t="s">
        <v>157</v>
      </c>
      <c r="B679" s="288"/>
      <c r="C679" s="288"/>
      <c r="D679" s="288"/>
      <c r="E679" s="288"/>
      <c r="F679" s="288"/>
      <c r="G679" s="288"/>
      <c r="H679" s="288"/>
      <c r="I679" s="288"/>
      <c r="J679" s="288"/>
      <c r="K679" s="288"/>
      <c r="L679" s="288"/>
      <c r="M679" s="288"/>
      <c r="N679" s="288"/>
      <c r="O679" s="288"/>
      <c r="P679" s="288"/>
      <c r="Q679" s="288"/>
      <c r="R679" s="288"/>
      <c r="S679" s="288"/>
      <c r="T679" s="288"/>
      <c r="U679" s="288"/>
      <c r="V679" s="288"/>
      <c r="W679" s="288"/>
      <c r="X679" s="288"/>
      <c r="Y679" s="289"/>
    </row>
    <row r="680" spans="1:25" ht="24.75" customHeight="1">
      <c r="A680" s="151">
        <v>1</v>
      </c>
      <c r="B680" s="38" t="s">
        <v>377</v>
      </c>
      <c r="C680" s="62">
        <v>6</v>
      </c>
      <c r="D680" s="37">
        <v>5</v>
      </c>
      <c r="E680" s="154">
        <v>1514</v>
      </c>
      <c r="F680" s="80">
        <f aca="true" t="shared" si="193" ref="F680:F690">E680*C680</f>
        <v>9084</v>
      </c>
      <c r="G680" s="80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62">
        <f aca="true" t="shared" si="194" ref="W680:W690">SUM(H680:V680)</f>
        <v>0</v>
      </c>
      <c r="X680" s="76">
        <f>F680+W680</f>
        <v>9084</v>
      </c>
      <c r="Y680" s="76">
        <f aca="true" t="shared" si="195" ref="Y680:Y690">X680*12</f>
        <v>109008</v>
      </c>
    </row>
    <row r="681" spans="1:25" ht="24.75" customHeight="1">
      <c r="A681" s="151">
        <v>2</v>
      </c>
      <c r="B681" s="38" t="s">
        <v>378</v>
      </c>
      <c r="C681" s="62">
        <f>5+4+1-5-2</f>
        <v>3</v>
      </c>
      <c r="D681" s="37">
        <v>4</v>
      </c>
      <c r="E681" s="154">
        <v>1414</v>
      </c>
      <c r="F681" s="80">
        <f t="shared" si="193"/>
        <v>4242</v>
      </c>
      <c r="G681" s="80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62">
        <f t="shared" si="194"/>
        <v>0</v>
      </c>
      <c r="X681" s="76">
        <f>F681+W681</f>
        <v>4242</v>
      </c>
      <c r="Y681" s="76">
        <f t="shared" si="195"/>
        <v>50904</v>
      </c>
    </row>
    <row r="682" spans="1:25" ht="24.75" customHeight="1">
      <c r="A682" s="151">
        <v>3</v>
      </c>
      <c r="B682" s="63" t="s">
        <v>161</v>
      </c>
      <c r="C682" s="62">
        <f>8-6</f>
        <v>2</v>
      </c>
      <c r="D682" s="62">
        <v>3</v>
      </c>
      <c r="E682" s="154">
        <v>1393</v>
      </c>
      <c r="F682" s="80">
        <f t="shared" si="193"/>
        <v>2786</v>
      </c>
      <c r="G682" s="80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62">
        <f t="shared" si="194"/>
        <v>0</v>
      </c>
      <c r="X682" s="76">
        <f>F682+W682</f>
        <v>2786</v>
      </c>
      <c r="Y682" s="76">
        <f t="shared" si="195"/>
        <v>33432</v>
      </c>
    </row>
    <row r="683" spans="1:25" ht="19.5" customHeight="1">
      <c r="A683" s="151">
        <v>4</v>
      </c>
      <c r="B683" s="63" t="s">
        <v>140</v>
      </c>
      <c r="C683" s="65">
        <v>1</v>
      </c>
      <c r="D683" s="65">
        <v>5</v>
      </c>
      <c r="E683" s="40">
        <v>1514</v>
      </c>
      <c r="F683" s="41">
        <f t="shared" si="193"/>
        <v>1514</v>
      </c>
      <c r="G683" s="41"/>
      <c r="H683" s="41"/>
      <c r="I683" s="41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1">
        <f t="shared" si="194"/>
        <v>0</v>
      </c>
      <c r="X683" s="41">
        <f>C683*E683+W683</f>
        <v>1514</v>
      </c>
      <c r="Y683" s="76">
        <f t="shared" si="195"/>
        <v>18168</v>
      </c>
    </row>
    <row r="684" spans="1:25" ht="19.5" customHeight="1">
      <c r="A684" s="151">
        <v>5</v>
      </c>
      <c r="B684" s="63" t="s">
        <v>141</v>
      </c>
      <c r="C684" s="65">
        <v>1</v>
      </c>
      <c r="D684" s="65">
        <v>4</v>
      </c>
      <c r="E684" s="40">
        <v>1414</v>
      </c>
      <c r="F684" s="41">
        <f t="shared" si="193"/>
        <v>1414</v>
      </c>
      <c r="G684" s="41"/>
      <c r="H684" s="41"/>
      <c r="I684" s="41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1">
        <f t="shared" si="194"/>
        <v>0</v>
      </c>
      <c r="X684" s="41">
        <f>C684*E684+W684</f>
        <v>1414</v>
      </c>
      <c r="Y684" s="76">
        <f t="shared" si="195"/>
        <v>16968</v>
      </c>
    </row>
    <row r="685" spans="1:25" ht="19.5" customHeight="1">
      <c r="A685" s="151">
        <v>6</v>
      </c>
      <c r="B685" s="63" t="s">
        <v>165</v>
      </c>
      <c r="C685" s="65">
        <v>1</v>
      </c>
      <c r="D685" s="65">
        <v>3</v>
      </c>
      <c r="E685" s="40">
        <v>1393</v>
      </c>
      <c r="F685" s="41">
        <f t="shared" si="193"/>
        <v>1393</v>
      </c>
      <c r="G685" s="41"/>
      <c r="H685" s="41"/>
      <c r="I685" s="41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1">
        <f t="shared" si="194"/>
        <v>0</v>
      </c>
      <c r="X685" s="41">
        <f>C685*E685+W685</f>
        <v>1393</v>
      </c>
      <c r="Y685" s="76">
        <f t="shared" si="195"/>
        <v>16716</v>
      </c>
    </row>
    <row r="686" spans="1:25" ht="25.5" customHeight="1">
      <c r="A686" s="151">
        <v>7</v>
      </c>
      <c r="B686" s="93" t="s">
        <v>246</v>
      </c>
      <c r="C686" s="65">
        <v>1</v>
      </c>
      <c r="D686" s="94">
        <v>5</v>
      </c>
      <c r="E686" s="40">
        <v>1514</v>
      </c>
      <c r="F686" s="41">
        <f t="shared" si="193"/>
        <v>1514</v>
      </c>
      <c r="G686" s="41"/>
      <c r="H686" s="41"/>
      <c r="I686" s="41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1">
        <f t="shared" si="194"/>
        <v>0</v>
      </c>
      <c r="X686" s="41">
        <f>C686*E686+W686</f>
        <v>1514</v>
      </c>
      <c r="Y686" s="76">
        <f t="shared" si="195"/>
        <v>18168</v>
      </c>
    </row>
    <row r="687" spans="1:25" ht="24.75" customHeight="1">
      <c r="A687" s="151">
        <v>8</v>
      </c>
      <c r="B687" s="63" t="s">
        <v>379</v>
      </c>
      <c r="C687" s="62">
        <v>1</v>
      </c>
      <c r="D687" s="62">
        <v>3</v>
      </c>
      <c r="E687" s="154">
        <v>1393</v>
      </c>
      <c r="F687" s="80">
        <f t="shared" si="193"/>
        <v>1393</v>
      </c>
      <c r="G687" s="80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62">
        <f t="shared" si="194"/>
        <v>0</v>
      </c>
      <c r="X687" s="76">
        <f>F687+W687</f>
        <v>1393</v>
      </c>
      <c r="Y687" s="76">
        <f t="shared" si="195"/>
        <v>16716</v>
      </c>
    </row>
    <row r="688" spans="1:25" ht="21" customHeight="1">
      <c r="A688" s="151">
        <v>9</v>
      </c>
      <c r="B688" s="63" t="s">
        <v>380</v>
      </c>
      <c r="C688" s="65">
        <v>1</v>
      </c>
      <c r="D688" s="65">
        <v>5</v>
      </c>
      <c r="E688" s="40">
        <v>1514</v>
      </c>
      <c r="F688" s="41">
        <f t="shared" si="193"/>
        <v>1514</v>
      </c>
      <c r="G688" s="41"/>
      <c r="H688" s="41"/>
      <c r="I688" s="41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1">
        <f t="shared" si="194"/>
        <v>0</v>
      </c>
      <c r="X688" s="41">
        <f>C688*E688+W688</f>
        <v>1514</v>
      </c>
      <c r="Y688" s="76">
        <f t="shared" si="195"/>
        <v>18168</v>
      </c>
    </row>
    <row r="689" spans="1:25" ht="18.75" customHeight="1">
      <c r="A689" s="151">
        <v>10</v>
      </c>
      <c r="B689" s="63" t="s">
        <v>381</v>
      </c>
      <c r="C689" s="62">
        <v>1</v>
      </c>
      <c r="D689" s="62">
        <v>3</v>
      </c>
      <c r="E689" s="154">
        <v>1393</v>
      </c>
      <c r="F689" s="80">
        <f t="shared" si="193"/>
        <v>1393</v>
      </c>
      <c r="G689" s="80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62">
        <f t="shared" si="194"/>
        <v>0</v>
      </c>
      <c r="X689" s="76">
        <f>F689+W689</f>
        <v>1393</v>
      </c>
      <c r="Y689" s="76">
        <f t="shared" si="195"/>
        <v>16716</v>
      </c>
    </row>
    <row r="690" spans="1:25" ht="19.5" customHeight="1">
      <c r="A690" s="151">
        <v>11</v>
      </c>
      <c r="B690" s="63" t="s">
        <v>382</v>
      </c>
      <c r="C690" s="65">
        <v>1</v>
      </c>
      <c r="D690" s="65">
        <v>4</v>
      </c>
      <c r="E690" s="40">
        <v>1414</v>
      </c>
      <c r="F690" s="41">
        <f t="shared" si="193"/>
        <v>1414</v>
      </c>
      <c r="G690" s="41"/>
      <c r="H690" s="41"/>
      <c r="I690" s="41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1">
        <f t="shared" si="194"/>
        <v>0</v>
      </c>
      <c r="X690" s="41">
        <f>C690*E690+W690</f>
        <v>1414</v>
      </c>
      <c r="Y690" s="76">
        <f t="shared" si="195"/>
        <v>16968</v>
      </c>
    </row>
    <row r="691" spans="1:25" ht="14.25" customHeight="1">
      <c r="A691" s="37"/>
      <c r="B691" s="38"/>
      <c r="C691" s="74">
        <f>SUM(C680:C690)</f>
        <v>19</v>
      </c>
      <c r="D691" s="74"/>
      <c r="E691" s="62"/>
      <c r="F691" s="70">
        <f>SUM(F680:F690)</f>
        <v>27661</v>
      </c>
      <c r="G691" s="70"/>
      <c r="H691" s="71">
        <f aca="true" t="shared" si="196" ref="H691:Y691">SUM(H680:H690)</f>
        <v>0</v>
      </c>
      <c r="I691" s="71">
        <f t="shared" si="196"/>
        <v>0</v>
      </c>
      <c r="J691" s="71">
        <f t="shared" si="196"/>
        <v>0</v>
      </c>
      <c r="K691" s="71">
        <f t="shared" si="196"/>
        <v>0</v>
      </c>
      <c r="L691" s="71">
        <f t="shared" si="196"/>
        <v>0</v>
      </c>
      <c r="M691" s="71">
        <f t="shared" si="196"/>
        <v>0</v>
      </c>
      <c r="N691" s="71">
        <f t="shared" si="196"/>
        <v>0</v>
      </c>
      <c r="O691" s="71">
        <f t="shared" si="196"/>
        <v>0</v>
      </c>
      <c r="P691" s="71">
        <f t="shared" si="196"/>
        <v>0</v>
      </c>
      <c r="Q691" s="71">
        <f t="shared" si="196"/>
        <v>0</v>
      </c>
      <c r="R691" s="71">
        <f t="shared" si="196"/>
        <v>0</v>
      </c>
      <c r="S691" s="71">
        <f t="shared" si="196"/>
        <v>0</v>
      </c>
      <c r="T691" s="71">
        <f t="shared" si="196"/>
        <v>0</v>
      </c>
      <c r="U691" s="71">
        <f t="shared" si="196"/>
        <v>0</v>
      </c>
      <c r="V691" s="71">
        <f t="shared" si="196"/>
        <v>0</v>
      </c>
      <c r="W691" s="70">
        <f t="shared" si="196"/>
        <v>0</v>
      </c>
      <c r="X691" s="70">
        <f t="shared" si="196"/>
        <v>27661</v>
      </c>
      <c r="Y691" s="70">
        <f t="shared" si="196"/>
        <v>331932</v>
      </c>
    </row>
    <row r="692" spans="1:25" ht="18" customHeight="1">
      <c r="A692" s="62"/>
      <c r="B692" s="63" t="s">
        <v>383</v>
      </c>
      <c r="C692" s="62"/>
      <c r="D692" s="62"/>
      <c r="E692" s="62"/>
      <c r="F692" s="62"/>
      <c r="G692" s="62"/>
      <c r="H692" s="62"/>
      <c r="I692" s="62"/>
      <c r="J692" s="40">
        <f>ROUNDUP('[1]секретность'!B6,0)</f>
        <v>1813</v>
      </c>
      <c r="K692" s="62"/>
      <c r="L692" s="62"/>
      <c r="M692" s="62"/>
      <c r="N692" s="62"/>
      <c r="O692" s="62"/>
      <c r="P692" s="62"/>
      <c r="Q692" s="62"/>
      <c r="R692" s="62"/>
      <c r="S692" s="62"/>
      <c r="T692" s="54">
        <f>ROUNDUP('[1]вредность'!B20,0)</f>
        <v>4055</v>
      </c>
      <c r="U692" s="62"/>
      <c r="V692" s="62">
        <f>13082+50000</f>
        <v>63082</v>
      </c>
      <c r="W692" s="62">
        <f>SUM(H692:V692)</f>
        <v>68950</v>
      </c>
      <c r="X692" s="76">
        <f>C692*E692+W692</f>
        <v>68950</v>
      </c>
      <c r="Y692" s="80">
        <f>X692*12</f>
        <v>827400</v>
      </c>
    </row>
    <row r="693" spans="1:29" ht="28.5" customHeight="1">
      <c r="A693" s="62"/>
      <c r="B693" s="155" t="s">
        <v>384</v>
      </c>
      <c r="C693" s="84">
        <f>C678+C674+C692+C691+C671+C603+C542+C661+C657+C652+C647+C590+C580+C595+C534+C531+C527+C509+C521+C499+C481+C607+C610</f>
        <v>702.5</v>
      </c>
      <c r="D693" s="84"/>
      <c r="E693" s="84"/>
      <c r="F693" s="84">
        <f aca="true" t="shared" si="197" ref="F693:Y693">F678+F674+F692+F691+F671+F603+F542+F661+F657+F652+F647+F590+F580+F595+F534+F531+F527+F509+F521+F499+F481+F607+F610</f>
        <v>1059928.75</v>
      </c>
      <c r="G693" s="91">
        <f t="shared" si="197"/>
        <v>0</v>
      </c>
      <c r="H693" s="91">
        <f t="shared" si="197"/>
        <v>20400</v>
      </c>
      <c r="I693" s="91">
        <f t="shared" si="197"/>
        <v>10279</v>
      </c>
      <c r="J693" s="91">
        <f t="shared" si="197"/>
        <v>2193</v>
      </c>
      <c r="K693" s="91">
        <f t="shared" si="197"/>
        <v>971</v>
      </c>
      <c r="L693" s="91">
        <f t="shared" si="197"/>
        <v>0</v>
      </c>
      <c r="M693" s="91">
        <f t="shared" si="197"/>
        <v>193</v>
      </c>
      <c r="N693" s="91">
        <f t="shared" si="197"/>
        <v>16601</v>
      </c>
      <c r="O693" s="91">
        <f t="shared" si="197"/>
        <v>0</v>
      </c>
      <c r="P693" s="91">
        <f t="shared" si="197"/>
        <v>0</v>
      </c>
      <c r="Q693" s="91">
        <f t="shared" si="197"/>
        <v>0</v>
      </c>
      <c r="R693" s="91">
        <f t="shared" si="197"/>
        <v>971</v>
      </c>
      <c r="S693" s="91">
        <f t="shared" si="197"/>
        <v>0</v>
      </c>
      <c r="T693" s="91">
        <f t="shared" si="197"/>
        <v>20515</v>
      </c>
      <c r="U693" s="91">
        <f t="shared" si="197"/>
        <v>0</v>
      </c>
      <c r="V693" s="91">
        <f t="shared" si="197"/>
        <v>74469</v>
      </c>
      <c r="W693" s="91">
        <f t="shared" si="197"/>
        <v>146592</v>
      </c>
      <c r="X693" s="84">
        <f t="shared" si="197"/>
        <v>1206520.75</v>
      </c>
      <c r="Y693" s="84">
        <f t="shared" si="197"/>
        <v>14478249</v>
      </c>
      <c r="Z693" s="84" t="e">
        <f>Z678+Z674+Z692+Z691+Z671+Z603+#REF!+Z661+Z657+Z652+Z647+Z590+Z580+Z595+Z534+Z531+Z527+Z509+Z521+Z499+Z481+Z607+Z610</f>
        <v>#REF!</v>
      </c>
      <c r="AA693" s="84" t="e">
        <f>AA678+AA674+AA692+AA691+AA671+AA603+#REF!+AA661+AA657+AA652+AA647+AA590+AA580+AA595+AA534+AA531+AA527+AA509+AA521+AA499+AA481+AA607+AA610</f>
        <v>#REF!</v>
      </c>
      <c r="AB693" s="84" t="e">
        <f>AB678+AB674+AB692+AB691+AB671+AB603+#REF!+AB661+AB657+AB652+AB647+AB590+AB580+AB595+AB534+AB531+AB527+AB509+AB521+AB499+AB481+AB607+AB610</f>
        <v>#REF!</v>
      </c>
      <c r="AC693" s="84" t="e">
        <f>AC678+AC674+AC692+AC691+AC671+AC603+#REF!+AC661+AC657+AC652+AC647+AC590+AC580+AC595+AC534+AC531+AC527+AC509+AC521+AC499+AC481+AC607+AC610</f>
        <v>#REF!</v>
      </c>
    </row>
    <row r="694" spans="1:25" ht="21.75" customHeight="1">
      <c r="A694" s="345" t="s">
        <v>385</v>
      </c>
      <c r="B694" s="346"/>
      <c r="C694" s="346"/>
      <c r="D694" s="346"/>
      <c r="E694" s="346"/>
      <c r="F694" s="346"/>
      <c r="G694" s="346"/>
      <c r="H694" s="346"/>
      <c r="I694" s="346"/>
      <c r="J694" s="346"/>
      <c r="K694" s="346"/>
      <c r="L694" s="346"/>
      <c r="M694" s="346"/>
      <c r="N694" s="346"/>
      <c r="O694" s="346"/>
      <c r="P694" s="346"/>
      <c r="Q694" s="346"/>
      <c r="R694" s="346"/>
      <c r="S694" s="346"/>
      <c r="T694" s="346"/>
      <c r="U694" s="346"/>
      <c r="V694" s="346"/>
      <c r="W694" s="346"/>
      <c r="X694" s="346"/>
      <c r="Y694" s="347"/>
    </row>
    <row r="695" spans="1:25" ht="21.75" customHeight="1">
      <c r="A695" s="40">
        <v>1</v>
      </c>
      <c r="B695" s="149" t="s">
        <v>305</v>
      </c>
      <c r="C695" s="40">
        <v>1</v>
      </c>
      <c r="D695" s="40">
        <v>10</v>
      </c>
      <c r="E695" s="62">
        <v>2026</v>
      </c>
      <c r="F695" s="80">
        <f>E695*C695</f>
        <v>2026</v>
      </c>
      <c r="G695" s="80"/>
      <c r="H695" s="40"/>
      <c r="I695" s="40"/>
      <c r="J695" s="40"/>
      <c r="K695" s="40"/>
      <c r="L695" s="40"/>
      <c r="M695" s="40"/>
      <c r="N695" s="40">
        <f>ROUNDUP(F695*30%,0)</f>
        <v>608</v>
      </c>
      <c r="O695" s="40"/>
      <c r="P695" s="40"/>
      <c r="Q695" s="40">
        <f>ROUNDUP(F695*25%,0)</f>
        <v>507</v>
      </c>
      <c r="R695" s="40"/>
      <c r="S695" s="40">
        <f>ROUNDUP(F695*15%,0)</f>
        <v>304</v>
      </c>
      <c r="T695" s="40"/>
      <c r="U695" s="40"/>
      <c r="V695" s="48"/>
      <c r="W695" s="42">
        <f>SUM(H695:V695)</f>
        <v>1419</v>
      </c>
      <c r="X695" s="41">
        <f>E695*C695+W695</f>
        <v>3445</v>
      </c>
      <c r="Y695" s="41">
        <f>X695*12</f>
        <v>41340</v>
      </c>
    </row>
    <row r="696" spans="1:25" ht="21.75" customHeight="1">
      <c r="A696" s="81">
        <v>2</v>
      </c>
      <c r="B696" s="63" t="s">
        <v>101</v>
      </c>
      <c r="C696" s="37">
        <v>4</v>
      </c>
      <c r="D696" s="62">
        <v>7</v>
      </c>
      <c r="E696" s="62">
        <v>1714</v>
      </c>
      <c r="F696" s="80">
        <f>E696*C696</f>
        <v>6856</v>
      </c>
      <c r="G696" s="80"/>
      <c r="H696" s="62"/>
      <c r="I696" s="42">
        <f>ROUNDUP(F696*20%,0)</f>
        <v>1372</v>
      </c>
      <c r="J696" s="62"/>
      <c r="K696" s="62"/>
      <c r="L696" s="62"/>
      <c r="M696" s="62"/>
      <c r="N696" s="62">
        <f>ROUNDUP(F696*30%,0)</f>
        <v>2057</v>
      </c>
      <c r="O696" s="62"/>
      <c r="P696" s="62"/>
      <c r="Q696" s="62"/>
      <c r="R696" s="62"/>
      <c r="S696" s="62"/>
      <c r="T696" s="62"/>
      <c r="U696" s="62"/>
      <c r="V696" s="62"/>
      <c r="W696" s="62">
        <f>SUM(H696:V696)</f>
        <v>3429</v>
      </c>
      <c r="X696" s="76">
        <f>C696*E696+W696</f>
        <v>10285</v>
      </c>
      <c r="Y696" s="41">
        <f>X696*12</f>
        <v>123420</v>
      </c>
    </row>
    <row r="697" spans="1:25" ht="21.75" customHeight="1">
      <c r="A697" s="81">
        <v>3</v>
      </c>
      <c r="B697" s="38" t="s">
        <v>92</v>
      </c>
      <c r="C697" s="37">
        <v>1</v>
      </c>
      <c r="D697" s="37">
        <v>5</v>
      </c>
      <c r="E697" s="62">
        <v>1514</v>
      </c>
      <c r="F697" s="80">
        <f>E697*C697</f>
        <v>1514</v>
      </c>
      <c r="G697" s="80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>
        <f>SUM(H697:V697)</f>
        <v>0</v>
      </c>
      <c r="X697" s="76">
        <f>C697*E697+W697</f>
        <v>1514</v>
      </c>
      <c r="Y697" s="41">
        <f>X697*12</f>
        <v>18168</v>
      </c>
    </row>
    <row r="698" spans="1:25" ht="21.75" customHeight="1">
      <c r="A698" s="81">
        <v>4</v>
      </c>
      <c r="B698" s="42" t="s">
        <v>269</v>
      </c>
      <c r="C698" s="40">
        <v>1</v>
      </c>
      <c r="D698" s="40">
        <v>10</v>
      </c>
      <c r="E698" s="62">
        <v>2026</v>
      </c>
      <c r="F698" s="80">
        <f>E698*C698</f>
        <v>2026</v>
      </c>
      <c r="G698" s="80"/>
      <c r="H698" s="62"/>
      <c r="I698" s="62"/>
      <c r="J698" s="40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>
        <f>SUM(H698:V698)</f>
        <v>0</v>
      </c>
      <c r="X698" s="41">
        <f>E698*C698+W698</f>
        <v>2026</v>
      </c>
      <c r="Y698" s="41">
        <f>X698*12</f>
        <v>24312</v>
      </c>
    </row>
    <row r="699" spans="1:25" ht="21.75" customHeight="1">
      <c r="A699" s="81">
        <v>5</v>
      </c>
      <c r="B699" s="42" t="s">
        <v>65</v>
      </c>
      <c r="C699" s="40">
        <v>2</v>
      </c>
      <c r="D699" s="40">
        <v>9</v>
      </c>
      <c r="E699" s="62">
        <v>1925</v>
      </c>
      <c r="F699" s="80">
        <f>E699*C699</f>
        <v>3850</v>
      </c>
      <c r="G699" s="80"/>
      <c r="H699" s="62"/>
      <c r="I699" s="62"/>
      <c r="J699" s="40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>
        <f>SUM(H699:V699)</f>
        <v>0</v>
      </c>
      <c r="X699" s="41">
        <f>E699*C699+W699</f>
        <v>3850</v>
      </c>
      <c r="Y699" s="41">
        <f>X699*12</f>
        <v>46200</v>
      </c>
    </row>
    <row r="700" spans="1:25" ht="21.75" customHeight="1">
      <c r="A700" s="42"/>
      <c r="B700" s="42"/>
      <c r="C700" s="73">
        <f>SUM(C695:C699)</f>
        <v>9</v>
      </c>
      <c r="D700" s="73"/>
      <c r="E700" s="42"/>
      <c r="F700" s="68">
        <f>SUM(F695:F699)</f>
        <v>16272</v>
      </c>
      <c r="G700" s="68"/>
      <c r="H700" s="69">
        <f aca="true" t="shared" si="198" ref="H700:Y700">SUM(H695:H699)</f>
        <v>0</v>
      </c>
      <c r="I700" s="69">
        <f t="shared" si="198"/>
        <v>1372</v>
      </c>
      <c r="J700" s="69">
        <f t="shared" si="198"/>
        <v>0</v>
      </c>
      <c r="K700" s="69">
        <f t="shared" si="198"/>
        <v>0</v>
      </c>
      <c r="L700" s="69">
        <f t="shared" si="198"/>
        <v>0</v>
      </c>
      <c r="M700" s="69">
        <f t="shared" si="198"/>
        <v>0</v>
      </c>
      <c r="N700" s="69">
        <f t="shared" si="198"/>
        <v>2665</v>
      </c>
      <c r="O700" s="69">
        <f t="shared" si="198"/>
        <v>0</v>
      </c>
      <c r="P700" s="69">
        <f t="shared" si="198"/>
        <v>0</v>
      </c>
      <c r="Q700" s="69">
        <f t="shared" si="198"/>
        <v>507</v>
      </c>
      <c r="R700" s="69">
        <f t="shared" si="198"/>
        <v>0</v>
      </c>
      <c r="S700" s="69">
        <f t="shared" si="198"/>
        <v>304</v>
      </c>
      <c r="T700" s="69">
        <f t="shared" si="198"/>
        <v>0</v>
      </c>
      <c r="U700" s="69">
        <f t="shared" si="198"/>
        <v>0</v>
      </c>
      <c r="V700" s="69">
        <f t="shared" si="198"/>
        <v>0</v>
      </c>
      <c r="W700" s="69">
        <f t="shared" si="198"/>
        <v>4848</v>
      </c>
      <c r="X700" s="68">
        <f t="shared" si="198"/>
        <v>21120</v>
      </c>
      <c r="Y700" s="68">
        <f t="shared" si="198"/>
        <v>253440</v>
      </c>
    </row>
    <row r="701" spans="1:25" ht="21.75" customHeight="1">
      <c r="A701" s="290" t="s">
        <v>227</v>
      </c>
      <c r="B701" s="291"/>
      <c r="C701" s="291"/>
      <c r="D701" s="291"/>
      <c r="E701" s="291"/>
      <c r="F701" s="291"/>
      <c r="G701" s="291"/>
      <c r="H701" s="291"/>
      <c r="I701" s="291"/>
      <c r="J701" s="291"/>
      <c r="K701" s="291"/>
      <c r="L701" s="291"/>
      <c r="M701" s="291"/>
      <c r="N701" s="291"/>
      <c r="O701" s="291"/>
      <c r="P701" s="291"/>
      <c r="Q701" s="291"/>
      <c r="R701" s="291"/>
      <c r="S701" s="291"/>
      <c r="T701" s="291"/>
      <c r="U701" s="291"/>
      <c r="V701" s="291"/>
      <c r="W701" s="291"/>
      <c r="X701" s="291"/>
      <c r="Y701" s="292"/>
    </row>
    <row r="702" spans="1:25" ht="21.75" customHeight="1">
      <c r="A702" s="42">
        <v>1</v>
      </c>
      <c r="B702" s="42" t="s">
        <v>386</v>
      </c>
      <c r="C702" s="40">
        <v>1</v>
      </c>
      <c r="D702" s="40">
        <v>9</v>
      </c>
      <c r="E702" s="62">
        <v>1925</v>
      </c>
      <c r="F702" s="80">
        <f>C702*E702</f>
        <v>1925</v>
      </c>
      <c r="G702" s="80"/>
      <c r="H702" s="62"/>
      <c r="I702" s="62"/>
      <c r="J702" s="40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0">
        <f>SUM(H702:V702)</f>
        <v>0</v>
      </c>
      <c r="X702" s="41">
        <f>E702*C702+W702</f>
        <v>1925</v>
      </c>
      <c r="Y702" s="41">
        <f>X702*12</f>
        <v>23100</v>
      </c>
    </row>
    <row r="703" spans="1:29" ht="21.75" customHeight="1">
      <c r="A703" s="42"/>
      <c r="B703" s="42"/>
      <c r="C703" s="73">
        <f>SUM(C702:C702)</f>
        <v>1</v>
      </c>
      <c r="D703" s="73"/>
      <c r="E703" s="42"/>
      <c r="F703" s="90">
        <f>SUM(F702:F702)</f>
        <v>1925</v>
      </c>
      <c r="G703" s="90"/>
      <c r="H703" s="77">
        <f aca="true" t="shared" si="199" ref="H703:AC703">SUM(H702:H702)</f>
        <v>0</v>
      </c>
      <c r="I703" s="77">
        <f t="shared" si="199"/>
        <v>0</v>
      </c>
      <c r="J703" s="77">
        <f t="shared" si="199"/>
        <v>0</v>
      </c>
      <c r="K703" s="77">
        <f t="shared" si="199"/>
        <v>0</v>
      </c>
      <c r="L703" s="77">
        <f t="shared" si="199"/>
        <v>0</v>
      </c>
      <c r="M703" s="77">
        <f t="shared" si="199"/>
        <v>0</v>
      </c>
      <c r="N703" s="77">
        <f t="shared" si="199"/>
        <v>0</v>
      </c>
      <c r="O703" s="77">
        <f t="shared" si="199"/>
        <v>0</v>
      </c>
      <c r="P703" s="77">
        <f t="shared" si="199"/>
        <v>0</v>
      </c>
      <c r="Q703" s="77">
        <f t="shared" si="199"/>
        <v>0</v>
      </c>
      <c r="R703" s="77">
        <f t="shared" si="199"/>
        <v>0</v>
      </c>
      <c r="S703" s="77">
        <f t="shared" si="199"/>
        <v>0</v>
      </c>
      <c r="T703" s="77">
        <f t="shared" si="199"/>
        <v>0</v>
      </c>
      <c r="U703" s="77">
        <f t="shared" si="199"/>
        <v>0</v>
      </c>
      <c r="V703" s="77">
        <f t="shared" si="199"/>
        <v>0</v>
      </c>
      <c r="W703" s="77">
        <f t="shared" si="199"/>
        <v>0</v>
      </c>
      <c r="X703" s="90">
        <f t="shared" si="199"/>
        <v>1925</v>
      </c>
      <c r="Y703" s="90">
        <f t="shared" si="199"/>
        <v>23100</v>
      </c>
      <c r="Z703" s="77">
        <f t="shared" si="199"/>
        <v>0</v>
      </c>
      <c r="AA703" s="77">
        <f t="shared" si="199"/>
        <v>0</v>
      </c>
      <c r="AB703" s="77">
        <f t="shared" si="199"/>
        <v>0</v>
      </c>
      <c r="AC703" s="77">
        <f t="shared" si="199"/>
        <v>0</v>
      </c>
    </row>
    <row r="704" spans="1:29" ht="21.75" customHeight="1">
      <c r="A704" s="345" t="s">
        <v>387</v>
      </c>
      <c r="B704" s="346"/>
      <c r="C704" s="346"/>
      <c r="D704" s="346"/>
      <c r="E704" s="346"/>
      <c r="F704" s="346"/>
      <c r="G704" s="346"/>
      <c r="H704" s="346"/>
      <c r="I704" s="346"/>
      <c r="J704" s="346"/>
      <c r="K704" s="346"/>
      <c r="L704" s="346"/>
      <c r="M704" s="346"/>
      <c r="N704" s="346"/>
      <c r="O704" s="346"/>
      <c r="P704" s="346"/>
      <c r="Q704" s="346"/>
      <c r="R704" s="346"/>
      <c r="S704" s="346"/>
      <c r="T704" s="346"/>
      <c r="U704" s="346"/>
      <c r="V704" s="346"/>
      <c r="W704" s="346"/>
      <c r="X704" s="346"/>
      <c r="Y704" s="347"/>
      <c r="Z704" s="156"/>
      <c r="AA704" s="156"/>
      <c r="AB704" s="156"/>
      <c r="AC704" s="156"/>
    </row>
    <row r="705" spans="1:29" ht="21.75" customHeight="1">
      <c r="A705" s="42">
        <v>1</v>
      </c>
      <c r="B705" s="63" t="s">
        <v>368</v>
      </c>
      <c r="C705" s="37">
        <v>1</v>
      </c>
      <c r="D705" s="62">
        <v>10</v>
      </c>
      <c r="E705" s="62">
        <v>2026</v>
      </c>
      <c r="F705" s="80">
        <f aca="true" t="shared" si="200" ref="F705:F710">E705*C705</f>
        <v>2026</v>
      </c>
      <c r="G705" s="80"/>
      <c r="H705" s="62"/>
      <c r="I705" s="42">
        <f>ROUNDUP(F705*20%,0)</f>
        <v>406</v>
      </c>
      <c r="J705" s="62"/>
      <c r="K705" s="62"/>
      <c r="L705" s="62"/>
      <c r="M705" s="62"/>
      <c r="N705" s="62">
        <f>ROUNDUP(F705*30%,0)</f>
        <v>608</v>
      </c>
      <c r="O705" s="62"/>
      <c r="P705" s="62"/>
      <c r="Q705" s="62"/>
      <c r="R705" s="62"/>
      <c r="S705" s="62"/>
      <c r="T705" s="62"/>
      <c r="U705" s="62"/>
      <c r="V705" s="62"/>
      <c r="W705" s="62">
        <f aca="true" t="shared" si="201" ref="W705:W710">SUM(H705:V705)</f>
        <v>1014</v>
      </c>
      <c r="X705" s="76">
        <f>C705*E705+W705</f>
        <v>3040</v>
      </c>
      <c r="Y705" s="41">
        <f aca="true" t="shared" si="202" ref="Y705:Y710">X705*12</f>
        <v>36480</v>
      </c>
      <c r="Z705" s="156"/>
      <c r="AA705" s="156"/>
      <c r="AB705" s="156"/>
      <c r="AC705" s="156"/>
    </row>
    <row r="706" spans="1:29" ht="21.75" customHeight="1">
      <c r="A706" s="42">
        <v>2</v>
      </c>
      <c r="B706" s="63" t="s">
        <v>96</v>
      </c>
      <c r="C706" s="40">
        <v>1</v>
      </c>
      <c r="D706" s="40">
        <v>9</v>
      </c>
      <c r="E706" s="62">
        <v>1925</v>
      </c>
      <c r="F706" s="80">
        <f t="shared" si="200"/>
        <v>1925</v>
      </c>
      <c r="G706" s="80"/>
      <c r="H706" s="62"/>
      <c r="I706" s="42">
        <f>ROUNDUP(F706*20%,0)</f>
        <v>385</v>
      </c>
      <c r="J706" s="40"/>
      <c r="K706" s="42"/>
      <c r="L706" s="42"/>
      <c r="M706" s="42"/>
      <c r="N706" s="62">
        <f>ROUNDUP(F706*30%,0)</f>
        <v>578</v>
      </c>
      <c r="O706" s="42"/>
      <c r="P706" s="42"/>
      <c r="Q706" s="42"/>
      <c r="R706" s="42"/>
      <c r="S706" s="42"/>
      <c r="T706" s="42"/>
      <c r="U706" s="42"/>
      <c r="V706" s="42"/>
      <c r="W706" s="62">
        <f t="shared" si="201"/>
        <v>963</v>
      </c>
      <c r="X706" s="76">
        <f>C706*E706+W706</f>
        <v>2888</v>
      </c>
      <c r="Y706" s="41">
        <f t="shared" si="202"/>
        <v>34656</v>
      </c>
      <c r="Z706" s="156"/>
      <c r="AA706" s="156"/>
      <c r="AB706" s="156"/>
      <c r="AC706" s="156"/>
    </row>
    <row r="707" spans="1:29" ht="21.75" customHeight="1">
      <c r="A707" s="42">
        <v>3</v>
      </c>
      <c r="B707" s="42" t="s">
        <v>65</v>
      </c>
      <c r="C707" s="40">
        <v>8</v>
      </c>
      <c r="D707" s="40">
        <v>9</v>
      </c>
      <c r="E707" s="62">
        <v>1925</v>
      </c>
      <c r="F707" s="80">
        <f t="shared" si="200"/>
        <v>15400</v>
      </c>
      <c r="G707" s="80"/>
      <c r="H707" s="62"/>
      <c r="I707" s="62"/>
      <c r="J707" s="40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0">
        <f t="shared" si="201"/>
        <v>0</v>
      </c>
      <c r="X707" s="41">
        <f>E707*C707+W707</f>
        <v>15400</v>
      </c>
      <c r="Y707" s="41">
        <f t="shared" si="202"/>
        <v>184800</v>
      </c>
      <c r="Z707" s="156"/>
      <c r="AA707" s="156"/>
      <c r="AB707" s="156"/>
      <c r="AC707" s="156"/>
    </row>
    <row r="708" spans="1:29" ht="21.75" customHeight="1">
      <c r="A708" s="42">
        <v>4</v>
      </c>
      <c r="B708" s="42" t="s">
        <v>64</v>
      </c>
      <c r="C708" s="40">
        <f>7-1-2</f>
        <v>4</v>
      </c>
      <c r="D708" s="40">
        <v>10</v>
      </c>
      <c r="E708" s="62">
        <v>2026</v>
      </c>
      <c r="F708" s="80">
        <f t="shared" si="200"/>
        <v>8104</v>
      </c>
      <c r="G708" s="80"/>
      <c r="H708" s="62"/>
      <c r="I708" s="42"/>
      <c r="J708" s="40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0">
        <f t="shared" si="201"/>
        <v>0</v>
      </c>
      <c r="X708" s="41">
        <f>E708*C708+W708</f>
        <v>8104</v>
      </c>
      <c r="Y708" s="41">
        <f t="shared" si="202"/>
        <v>97248</v>
      </c>
      <c r="Z708" s="156"/>
      <c r="AA708" s="156"/>
      <c r="AB708" s="156"/>
      <c r="AC708" s="156"/>
    </row>
    <row r="709" spans="1:29" ht="21.75" customHeight="1">
      <c r="A709" s="42">
        <v>5</v>
      </c>
      <c r="B709" s="42" t="s">
        <v>372</v>
      </c>
      <c r="C709" s="40">
        <v>1</v>
      </c>
      <c r="D709" s="40">
        <v>8</v>
      </c>
      <c r="E709" s="62">
        <v>1825</v>
      </c>
      <c r="F709" s="80">
        <f t="shared" si="200"/>
        <v>1825</v>
      </c>
      <c r="G709" s="80"/>
      <c r="H709" s="62">
        <f>ROUNDUP(F709*50%,0)</f>
        <v>913</v>
      </c>
      <c r="I709" s="42"/>
      <c r="J709" s="157"/>
      <c r="K709" s="42"/>
      <c r="L709" s="42"/>
      <c r="M709" s="42"/>
      <c r="N709" s="42">
        <f>ROUNDUP(F709*30%,0)</f>
        <v>548</v>
      </c>
      <c r="O709" s="42"/>
      <c r="P709" s="42"/>
      <c r="Q709" s="42"/>
      <c r="R709" s="42"/>
      <c r="S709" s="42"/>
      <c r="T709" s="42"/>
      <c r="U709" s="42"/>
      <c r="V709" s="42"/>
      <c r="W709" s="40">
        <f t="shared" si="201"/>
        <v>1461</v>
      </c>
      <c r="X709" s="41">
        <f>E709*C709+W709</f>
        <v>3286</v>
      </c>
      <c r="Y709" s="41">
        <f t="shared" si="202"/>
        <v>39432</v>
      </c>
      <c r="Z709" s="156"/>
      <c r="AA709" s="156"/>
      <c r="AB709" s="156"/>
      <c r="AC709" s="156"/>
    </row>
    <row r="710" spans="1:29" ht="21.75" customHeight="1">
      <c r="A710" s="42">
        <v>6</v>
      </c>
      <c r="B710" s="42" t="s">
        <v>291</v>
      </c>
      <c r="C710" s="40">
        <v>2</v>
      </c>
      <c r="D710" s="40">
        <v>2</v>
      </c>
      <c r="E710" s="62">
        <v>1383</v>
      </c>
      <c r="F710" s="80">
        <f t="shared" si="200"/>
        <v>2766</v>
      </c>
      <c r="G710" s="80"/>
      <c r="H710" s="62"/>
      <c r="I710" s="62"/>
      <c r="J710" s="40"/>
      <c r="K710" s="42"/>
      <c r="L710" s="42"/>
      <c r="M710" s="42"/>
      <c r="N710" s="42"/>
      <c r="O710" s="42"/>
      <c r="P710" s="42"/>
      <c r="Q710" s="42"/>
      <c r="R710" s="42"/>
      <c r="S710" s="42"/>
      <c r="T710" s="42">
        <f>ROUNDUP(F710*10%,0)</f>
        <v>277</v>
      </c>
      <c r="U710" s="42"/>
      <c r="V710" s="42"/>
      <c r="W710" s="40">
        <f t="shared" si="201"/>
        <v>277</v>
      </c>
      <c r="X710" s="41">
        <f>E710*C710+W710</f>
        <v>3043</v>
      </c>
      <c r="Y710" s="41">
        <f t="shared" si="202"/>
        <v>36516</v>
      </c>
      <c r="Z710" s="156"/>
      <c r="AA710" s="156"/>
      <c r="AB710" s="156"/>
      <c r="AC710" s="156"/>
    </row>
    <row r="711" spans="1:29" ht="21.75" customHeight="1">
      <c r="A711" s="42"/>
      <c r="B711" s="42"/>
      <c r="C711" s="73">
        <f>SUM(C705:C710)</f>
        <v>17</v>
      </c>
      <c r="D711" s="40"/>
      <c r="E711" s="42"/>
      <c r="F711" s="90">
        <f>SUM(F705:F710)</f>
        <v>32046</v>
      </c>
      <c r="G711" s="90"/>
      <c r="H711" s="114">
        <f aca="true" t="shared" si="203" ref="H711:Y711">SUM(H705:H710)</f>
        <v>913</v>
      </c>
      <c r="I711" s="114">
        <f t="shared" si="203"/>
        <v>791</v>
      </c>
      <c r="J711" s="115">
        <f t="shared" si="203"/>
        <v>0</v>
      </c>
      <c r="K711" s="115">
        <f t="shared" si="203"/>
        <v>0</v>
      </c>
      <c r="L711" s="115">
        <f t="shared" si="203"/>
        <v>0</v>
      </c>
      <c r="M711" s="115">
        <f t="shared" si="203"/>
        <v>0</v>
      </c>
      <c r="N711" s="77">
        <f t="shared" si="203"/>
        <v>1734</v>
      </c>
      <c r="O711" s="115">
        <f t="shared" si="203"/>
        <v>0</v>
      </c>
      <c r="P711" s="115">
        <f t="shared" si="203"/>
        <v>0</v>
      </c>
      <c r="Q711" s="115">
        <f t="shared" si="203"/>
        <v>0</v>
      </c>
      <c r="R711" s="115">
        <f t="shared" si="203"/>
        <v>0</v>
      </c>
      <c r="S711" s="115">
        <f t="shared" si="203"/>
        <v>0</v>
      </c>
      <c r="T711" s="115">
        <f t="shared" si="203"/>
        <v>277</v>
      </c>
      <c r="U711" s="115">
        <f t="shared" si="203"/>
        <v>0</v>
      </c>
      <c r="V711" s="115">
        <f t="shared" si="203"/>
        <v>0</v>
      </c>
      <c r="W711" s="115">
        <f t="shared" si="203"/>
        <v>3715</v>
      </c>
      <c r="X711" s="68">
        <f t="shared" si="203"/>
        <v>35761</v>
      </c>
      <c r="Y711" s="68">
        <f t="shared" si="203"/>
        <v>429132</v>
      </c>
      <c r="Z711" s="156"/>
      <c r="AA711" s="156"/>
      <c r="AB711" s="156"/>
      <c r="AC711" s="156"/>
    </row>
    <row r="712" spans="1:25" ht="21.75" customHeight="1">
      <c r="A712" s="345" t="s">
        <v>388</v>
      </c>
      <c r="B712" s="346"/>
      <c r="C712" s="346"/>
      <c r="D712" s="346"/>
      <c r="E712" s="346"/>
      <c r="F712" s="346"/>
      <c r="G712" s="346"/>
      <c r="H712" s="346"/>
      <c r="I712" s="346"/>
      <c r="J712" s="346"/>
      <c r="K712" s="346"/>
      <c r="L712" s="346"/>
      <c r="M712" s="346"/>
      <c r="N712" s="346"/>
      <c r="O712" s="346"/>
      <c r="P712" s="346"/>
      <c r="Q712" s="346"/>
      <c r="R712" s="346"/>
      <c r="S712" s="346"/>
      <c r="T712" s="346"/>
      <c r="U712" s="346"/>
      <c r="V712" s="346"/>
      <c r="W712" s="346"/>
      <c r="X712" s="346"/>
      <c r="Y712" s="347"/>
    </row>
    <row r="713" spans="1:25" ht="21.75" customHeight="1">
      <c r="A713" s="42">
        <v>1</v>
      </c>
      <c r="B713" s="42" t="s">
        <v>389</v>
      </c>
      <c r="C713" s="37">
        <v>1</v>
      </c>
      <c r="D713" s="37">
        <v>10</v>
      </c>
      <c r="E713" s="62">
        <v>2026</v>
      </c>
      <c r="F713" s="80">
        <f aca="true" t="shared" si="204" ref="F713:F723">E713*C713</f>
        <v>2026</v>
      </c>
      <c r="G713" s="80"/>
      <c r="H713" s="62"/>
      <c r="I713" s="62"/>
      <c r="J713" s="42"/>
      <c r="K713" s="42"/>
      <c r="L713" s="42"/>
      <c r="M713" s="42"/>
      <c r="N713" s="40"/>
      <c r="O713" s="42"/>
      <c r="P713" s="42"/>
      <c r="Q713" s="42"/>
      <c r="R713" s="42"/>
      <c r="S713" s="42"/>
      <c r="T713" s="42"/>
      <c r="U713" s="42"/>
      <c r="V713" s="42"/>
      <c r="W713" s="40">
        <f aca="true" t="shared" si="205" ref="W713:W723">SUM(H713:V713)</f>
        <v>0</v>
      </c>
      <c r="X713" s="41">
        <f aca="true" t="shared" si="206" ref="X713:X723">C713*E713+W713</f>
        <v>2026</v>
      </c>
      <c r="Y713" s="41">
        <f aca="true" t="shared" si="207" ref="Y713:Y723">X713*12</f>
        <v>24312</v>
      </c>
    </row>
    <row r="714" spans="1:25" ht="21.75" customHeight="1">
      <c r="A714" s="42">
        <v>2</v>
      </c>
      <c r="B714" s="42" t="s">
        <v>315</v>
      </c>
      <c r="C714" s="37">
        <v>1</v>
      </c>
      <c r="D714" s="37">
        <v>5</v>
      </c>
      <c r="E714" s="62">
        <v>1514</v>
      </c>
      <c r="F714" s="80">
        <f t="shared" si="204"/>
        <v>1514</v>
      </c>
      <c r="G714" s="80"/>
      <c r="H714" s="62"/>
      <c r="I714" s="62"/>
      <c r="J714" s="42"/>
      <c r="K714" s="42"/>
      <c r="L714" s="42"/>
      <c r="M714" s="42"/>
      <c r="N714" s="40"/>
      <c r="O714" s="42"/>
      <c r="P714" s="42"/>
      <c r="Q714" s="42"/>
      <c r="R714" s="42"/>
      <c r="S714" s="42"/>
      <c r="T714" s="42"/>
      <c r="U714" s="42"/>
      <c r="V714" s="42"/>
      <c r="W714" s="40">
        <f t="shared" si="205"/>
        <v>0</v>
      </c>
      <c r="X714" s="41">
        <f t="shared" si="206"/>
        <v>1514</v>
      </c>
      <c r="Y714" s="41">
        <f t="shared" si="207"/>
        <v>18168</v>
      </c>
    </row>
    <row r="715" spans="1:25" ht="21.75" customHeight="1">
      <c r="A715" s="42">
        <v>3</v>
      </c>
      <c r="B715" s="42" t="s">
        <v>136</v>
      </c>
      <c r="C715" s="37">
        <v>1</v>
      </c>
      <c r="D715" s="37">
        <v>5</v>
      </c>
      <c r="E715" s="62">
        <v>1514</v>
      </c>
      <c r="F715" s="80">
        <f t="shared" si="204"/>
        <v>1514</v>
      </c>
      <c r="G715" s="80"/>
      <c r="H715" s="62"/>
      <c r="I715" s="62"/>
      <c r="J715" s="42"/>
      <c r="K715" s="42"/>
      <c r="L715" s="42"/>
      <c r="M715" s="42"/>
      <c r="N715" s="40"/>
      <c r="O715" s="42"/>
      <c r="P715" s="42"/>
      <c r="Q715" s="42"/>
      <c r="R715" s="42"/>
      <c r="S715" s="42"/>
      <c r="T715" s="42"/>
      <c r="U715" s="42"/>
      <c r="V715" s="42"/>
      <c r="W715" s="40">
        <f t="shared" si="205"/>
        <v>0</v>
      </c>
      <c r="X715" s="41">
        <f t="shared" si="206"/>
        <v>1514</v>
      </c>
      <c r="Y715" s="41">
        <f t="shared" si="207"/>
        <v>18168</v>
      </c>
    </row>
    <row r="716" spans="1:25" ht="21.75" customHeight="1">
      <c r="A716" s="42">
        <v>4</v>
      </c>
      <c r="B716" s="42" t="s">
        <v>104</v>
      </c>
      <c r="C716" s="37">
        <v>1</v>
      </c>
      <c r="D716" s="37">
        <v>5</v>
      </c>
      <c r="E716" s="62">
        <v>1514</v>
      </c>
      <c r="F716" s="80">
        <f t="shared" si="204"/>
        <v>1514</v>
      </c>
      <c r="G716" s="80"/>
      <c r="H716" s="62"/>
      <c r="I716" s="62"/>
      <c r="J716" s="42"/>
      <c r="K716" s="42"/>
      <c r="L716" s="42"/>
      <c r="M716" s="42"/>
      <c r="N716" s="40"/>
      <c r="O716" s="42"/>
      <c r="P716" s="42"/>
      <c r="Q716" s="42"/>
      <c r="R716" s="42"/>
      <c r="S716" s="42"/>
      <c r="T716" s="42"/>
      <c r="U716" s="42"/>
      <c r="V716" s="42"/>
      <c r="W716" s="40">
        <f t="shared" si="205"/>
        <v>0</v>
      </c>
      <c r="X716" s="41">
        <f t="shared" si="206"/>
        <v>1514</v>
      </c>
      <c r="Y716" s="41">
        <f t="shared" si="207"/>
        <v>18168</v>
      </c>
    </row>
    <row r="717" spans="1:25" ht="21.75" customHeight="1">
      <c r="A717" s="42">
        <v>5</v>
      </c>
      <c r="B717" s="42" t="s">
        <v>140</v>
      </c>
      <c r="C717" s="37">
        <v>5</v>
      </c>
      <c r="D717" s="37">
        <v>5</v>
      </c>
      <c r="E717" s="62">
        <v>1514</v>
      </c>
      <c r="F717" s="80">
        <f t="shared" si="204"/>
        <v>7570</v>
      </c>
      <c r="G717" s="80"/>
      <c r="H717" s="62"/>
      <c r="I717" s="62"/>
      <c r="J717" s="42"/>
      <c r="K717" s="42"/>
      <c r="L717" s="42"/>
      <c r="M717" s="42"/>
      <c r="N717" s="40"/>
      <c r="O717" s="42"/>
      <c r="P717" s="42"/>
      <c r="Q717" s="42"/>
      <c r="R717" s="42"/>
      <c r="S717" s="42"/>
      <c r="T717" s="42"/>
      <c r="U717" s="42"/>
      <c r="V717" s="42"/>
      <c r="W717" s="40">
        <f t="shared" si="205"/>
        <v>0</v>
      </c>
      <c r="X717" s="41">
        <f t="shared" si="206"/>
        <v>7570</v>
      </c>
      <c r="Y717" s="41">
        <f t="shared" si="207"/>
        <v>90840</v>
      </c>
    </row>
    <row r="718" spans="1:25" ht="21.75" customHeight="1">
      <c r="A718" s="42">
        <v>6</v>
      </c>
      <c r="B718" s="42" t="s">
        <v>141</v>
      </c>
      <c r="C718" s="37">
        <v>1</v>
      </c>
      <c r="D718" s="37">
        <v>4</v>
      </c>
      <c r="E718" s="62">
        <v>1414</v>
      </c>
      <c r="F718" s="80">
        <f t="shared" si="204"/>
        <v>1414</v>
      </c>
      <c r="G718" s="80"/>
      <c r="H718" s="62"/>
      <c r="I718" s="62"/>
      <c r="J718" s="42"/>
      <c r="K718" s="42"/>
      <c r="L718" s="42"/>
      <c r="M718" s="42"/>
      <c r="N718" s="40"/>
      <c r="O718" s="42"/>
      <c r="P718" s="42"/>
      <c r="Q718" s="42"/>
      <c r="R718" s="42"/>
      <c r="S718" s="42"/>
      <c r="T718" s="42"/>
      <c r="U718" s="42"/>
      <c r="V718" s="42"/>
      <c r="W718" s="40">
        <f t="shared" si="205"/>
        <v>0</v>
      </c>
      <c r="X718" s="41">
        <f t="shared" si="206"/>
        <v>1414</v>
      </c>
      <c r="Y718" s="41">
        <f t="shared" si="207"/>
        <v>16968</v>
      </c>
    </row>
    <row r="719" spans="1:25" ht="21.75" customHeight="1">
      <c r="A719" s="42">
        <v>7</v>
      </c>
      <c r="B719" s="42" t="s">
        <v>165</v>
      </c>
      <c r="C719" s="37">
        <v>1</v>
      </c>
      <c r="D719" s="37">
        <v>3</v>
      </c>
      <c r="E719" s="62">
        <v>1393</v>
      </c>
      <c r="F719" s="80">
        <f t="shared" si="204"/>
        <v>1393</v>
      </c>
      <c r="G719" s="80"/>
      <c r="H719" s="62"/>
      <c r="I719" s="62"/>
      <c r="J719" s="42"/>
      <c r="K719" s="42"/>
      <c r="L719" s="42"/>
      <c r="M719" s="42"/>
      <c r="N719" s="40"/>
      <c r="O719" s="42"/>
      <c r="P719" s="42"/>
      <c r="Q719" s="42"/>
      <c r="R719" s="42"/>
      <c r="S719" s="42"/>
      <c r="T719" s="42"/>
      <c r="U719" s="42"/>
      <c r="V719" s="42"/>
      <c r="W719" s="40">
        <f t="shared" si="205"/>
        <v>0</v>
      </c>
      <c r="X719" s="41">
        <f t="shared" si="206"/>
        <v>1393</v>
      </c>
      <c r="Y719" s="41">
        <f t="shared" si="207"/>
        <v>16716</v>
      </c>
    </row>
    <row r="720" spans="1:25" ht="21.75" customHeight="1">
      <c r="A720" s="42">
        <v>8</v>
      </c>
      <c r="B720" s="42" t="s">
        <v>142</v>
      </c>
      <c r="C720" s="37">
        <v>2</v>
      </c>
      <c r="D720" s="37">
        <v>3</v>
      </c>
      <c r="E720" s="62">
        <v>1393</v>
      </c>
      <c r="F720" s="80">
        <f t="shared" si="204"/>
        <v>2786</v>
      </c>
      <c r="G720" s="80"/>
      <c r="H720" s="62"/>
      <c r="I720" s="62"/>
      <c r="J720" s="42"/>
      <c r="K720" s="42"/>
      <c r="L720" s="42"/>
      <c r="M720" s="42"/>
      <c r="N720" s="40"/>
      <c r="O720" s="42"/>
      <c r="P720" s="42"/>
      <c r="Q720" s="42"/>
      <c r="R720" s="42"/>
      <c r="S720" s="42"/>
      <c r="T720" s="42"/>
      <c r="U720" s="42"/>
      <c r="V720" s="42"/>
      <c r="W720" s="40">
        <f t="shared" si="205"/>
        <v>0</v>
      </c>
      <c r="X720" s="41">
        <f t="shared" si="206"/>
        <v>2786</v>
      </c>
      <c r="Y720" s="41">
        <f t="shared" si="207"/>
        <v>33432</v>
      </c>
    </row>
    <row r="721" spans="1:25" ht="21.75" customHeight="1">
      <c r="A721" s="42">
        <v>9</v>
      </c>
      <c r="B721" s="42" t="s">
        <v>328</v>
      </c>
      <c r="C721" s="37">
        <v>1</v>
      </c>
      <c r="D721" s="37">
        <v>1</v>
      </c>
      <c r="E721" s="62">
        <v>1378</v>
      </c>
      <c r="F721" s="80">
        <f t="shared" si="204"/>
        <v>1378</v>
      </c>
      <c r="G721" s="80"/>
      <c r="H721" s="62"/>
      <c r="I721" s="62"/>
      <c r="J721" s="42"/>
      <c r="K721" s="42"/>
      <c r="L721" s="42"/>
      <c r="M721" s="42"/>
      <c r="N721" s="40"/>
      <c r="O721" s="42"/>
      <c r="P721" s="42"/>
      <c r="Q721" s="42"/>
      <c r="R721" s="42"/>
      <c r="S721" s="42"/>
      <c r="T721" s="42"/>
      <c r="U721" s="42"/>
      <c r="V721" s="42"/>
      <c r="W721" s="40">
        <f t="shared" si="205"/>
        <v>0</v>
      </c>
      <c r="X721" s="41">
        <f t="shared" si="206"/>
        <v>1378</v>
      </c>
      <c r="Y721" s="41">
        <f t="shared" si="207"/>
        <v>16536</v>
      </c>
    </row>
    <row r="722" spans="1:25" ht="21.75" customHeight="1">
      <c r="A722" s="42">
        <v>10</v>
      </c>
      <c r="B722" s="42" t="s">
        <v>139</v>
      </c>
      <c r="C722" s="37">
        <v>11</v>
      </c>
      <c r="D722" s="37">
        <v>1</v>
      </c>
      <c r="E722" s="62">
        <v>1378</v>
      </c>
      <c r="F722" s="80">
        <f t="shared" si="204"/>
        <v>15158</v>
      </c>
      <c r="G722" s="80"/>
      <c r="H722" s="62"/>
      <c r="I722" s="62"/>
      <c r="J722" s="42"/>
      <c r="K722" s="42"/>
      <c r="L722" s="42"/>
      <c r="M722" s="42"/>
      <c r="N722" s="40"/>
      <c r="O722" s="42"/>
      <c r="P722" s="42"/>
      <c r="Q722" s="42"/>
      <c r="R722" s="42"/>
      <c r="S722" s="42"/>
      <c r="T722" s="42"/>
      <c r="U722" s="42"/>
      <c r="V722" s="42"/>
      <c r="W722" s="40">
        <f t="shared" si="205"/>
        <v>0</v>
      </c>
      <c r="X722" s="41">
        <f t="shared" si="206"/>
        <v>15158</v>
      </c>
      <c r="Y722" s="41">
        <f t="shared" si="207"/>
        <v>181896</v>
      </c>
    </row>
    <row r="723" spans="1:25" ht="21.75" customHeight="1">
      <c r="A723" s="42">
        <v>11</v>
      </c>
      <c r="B723" s="42" t="s">
        <v>390</v>
      </c>
      <c r="C723" s="37">
        <v>1</v>
      </c>
      <c r="D723" s="37">
        <v>4</v>
      </c>
      <c r="E723" s="62">
        <v>1414</v>
      </c>
      <c r="F723" s="80">
        <f t="shared" si="204"/>
        <v>1414</v>
      </c>
      <c r="G723" s="80"/>
      <c r="H723" s="62"/>
      <c r="I723" s="62"/>
      <c r="J723" s="42"/>
      <c r="K723" s="42"/>
      <c r="L723" s="42"/>
      <c r="M723" s="42"/>
      <c r="N723" s="40"/>
      <c r="O723" s="42"/>
      <c r="P723" s="42"/>
      <c r="Q723" s="42"/>
      <c r="R723" s="42"/>
      <c r="S723" s="42"/>
      <c r="T723" s="42"/>
      <c r="U723" s="42"/>
      <c r="V723" s="42"/>
      <c r="W723" s="40">
        <f t="shared" si="205"/>
        <v>0</v>
      </c>
      <c r="X723" s="41">
        <f t="shared" si="206"/>
        <v>1414</v>
      </c>
      <c r="Y723" s="41">
        <f t="shared" si="207"/>
        <v>16968</v>
      </c>
    </row>
    <row r="724" spans="1:25" ht="21.75" customHeight="1">
      <c r="A724" s="42"/>
      <c r="B724" s="42"/>
      <c r="C724" s="73">
        <f>SUM(C713:C723)</f>
        <v>26</v>
      </c>
      <c r="D724" s="73"/>
      <c r="E724" s="42"/>
      <c r="F724" s="68">
        <f>SUM(F713:F723)</f>
        <v>37681</v>
      </c>
      <c r="G724" s="68"/>
      <c r="H724" s="73">
        <f aca="true" t="shared" si="208" ref="H724:W724">SUM(H714:H723)</f>
        <v>0</v>
      </c>
      <c r="I724" s="73">
        <f t="shared" si="208"/>
        <v>0</v>
      </c>
      <c r="J724" s="73">
        <f t="shared" si="208"/>
        <v>0</v>
      </c>
      <c r="K724" s="73">
        <f t="shared" si="208"/>
        <v>0</v>
      </c>
      <c r="L724" s="73">
        <f t="shared" si="208"/>
        <v>0</v>
      </c>
      <c r="M724" s="73">
        <f t="shared" si="208"/>
        <v>0</v>
      </c>
      <c r="N724" s="73">
        <f t="shared" si="208"/>
        <v>0</v>
      </c>
      <c r="O724" s="73">
        <f t="shared" si="208"/>
        <v>0</v>
      </c>
      <c r="P724" s="73">
        <f t="shared" si="208"/>
        <v>0</v>
      </c>
      <c r="Q724" s="73">
        <f t="shared" si="208"/>
        <v>0</v>
      </c>
      <c r="R724" s="73">
        <f t="shared" si="208"/>
        <v>0</v>
      </c>
      <c r="S724" s="73">
        <f t="shared" si="208"/>
        <v>0</v>
      </c>
      <c r="T724" s="73">
        <f t="shared" si="208"/>
        <v>0</v>
      </c>
      <c r="U724" s="73">
        <f t="shared" si="208"/>
        <v>0</v>
      </c>
      <c r="V724" s="73">
        <f t="shared" si="208"/>
        <v>0</v>
      </c>
      <c r="W724" s="73">
        <f t="shared" si="208"/>
        <v>0</v>
      </c>
      <c r="X724" s="68">
        <f>SUM(X713:X723)</f>
        <v>37681</v>
      </c>
      <c r="Y724" s="68">
        <f>SUM(Y713:Y723)</f>
        <v>452172</v>
      </c>
    </row>
    <row r="725" spans="1:25" ht="22.5" customHeight="1">
      <c r="A725" s="345" t="s">
        <v>391</v>
      </c>
      <c r="B725" s="346"/>
      <c r="C725" s="346"/>
      <c r="D725" s="346"/>
      <c r="E725" s="346"/>
      <c r="F725" s="346"/>
      <c r="G725" s="346"/>
      <c r="H725" s="346"/>
      <c r="I725" s="346"/>
      <c r="J725" s="346"/>
      <c r="K725" s="346"/>
      <c r="L725" s="346"/>
      <c r="M725" s="346"/>
      <c r="N725" s="346"/>
      <c r="O725" s="346"/>
      <c r="P725" s="346"/>
      <c r="Q725" s="346"/>
      <c r="R725" s="346"/>
      <c r="S725" s="346"/>
      <c r="T725" s="346"/>
      <c r="U725" s="346"/>
      <c r="V725" s="346"/>
      <c r="W725" s="346"/>
      <c r="X725" s="346"/>
      <c r="Y725" s="347"/>
    </row>
    <row r="726" spans="1:25" ht="22.5" customHeight="1">
      <c r="A726" s="42">
        <v>1</v>
      </c>
      <c r="B726" s="42" t="s">
        <v>185</v>
      </c>
      <c r="C726" s="37">
        <v>1</v>
      </c>
      <c r="D726" s="37">
        <v>10</v>
      </c>
      <c r="E726" s="62">
        <v>2026</v>
      </c>
      <c r="F726" s="80">
        <f aca="true" t="shared" si="209" ref="F726:F745">E726*C726</f>
        <v>2026</v>
      </c>
      <c r="G726" s="80"/>
      <c r="H726" s="62"/>
      <c r="I726" s="62"/>
      <c r="J726" s="40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0">
        <f aca="true" t="shared" si="210" ref="W726:W745">SUM(H726:V726)</f>
        <v>0</v>
      </c>
      <c r="X726" s="41">
        <f aca="true" t="shared" si="211" ref="X726:X745">E726*C726+W726</f>
        <v>2026</v>
      </c>
      <c r="Y726" s="41">
        <f aca="true" t="shared" si="212" ref="Y726:Y745">X726*12</f>
        <v>24312</v>
      </c>
    </row>
    <row r="727" spans="1:25" ht="22.5" customHeight="1">
      <c r="A727" s="42">
        <v>2</v>
      </c>
      <c r="B727" s="42" t="s">
        <v>119</v>
      </c>
      <c r="C727" s="37">
        <v>1</v>
      </c>
      <c r="D727" s="37">
        <v>9</v>
      </c>
      <c r="E727" s="62">
        <v>1925</v>
      </c>
      <c r="F727" s="80">
        <f t="shared" si="209"/>
        <v>1925</v>
      </c>
      <c r="G727" s="80"/>
      <c r="H727" s="62"/>
      <c r="I727" s="62"/>
      <c r="J727" s="40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0">
        <f t="shared" si="210"/>
        <v>0</v>
      </c>
      <c r="X727" s="41">
        <f t="shared" si="211"/>
        <v>1925</v>
      </c>
      <c r="Y727" s="41">
        <f t="shared" si="212"/>
        <v>23100</v>
      </c>
    </row>
    <row r="728" spans="1:25" ht="22.5" customHeight="1">
      <c r="A728" s="42">
        <v>3</v>
      </c>
      <c r="B728" s="42" t="s">
        <v>120</v>
      </c>
      <c r="C728" s="37">
        <v>2</v>
      </c>
      <c r="D728" s="37">
        <v>8</v>
      </c>
      <c r="E728" s="62">
        <v>1825</v>
      </c>
      <c r="F728" s="80">
        <f t="shared" si="209"/>
        <v>3650</v>
      </c>
      <c r="G728" s="80"/>
      <c r="H728" s="62"/>
      <c r="I728" s="62"/>
      <c r="J728" s="40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0">
        <f t="shared" si="210"/>
        <v>0</v>
      </c>
      <c r="X728" s="41">
        <f t="shared" si="211"/>
        <v>3650</v>
      </c>
      <c r="Y728" s="41">
        <f t="shared" si="212"/>
        <v>43800</v>
      </c>
    </row>
    <row r="729" spans="1:25" ht="22.5" customHeight="1">
      <c r="A729" s="42">
        <v>4</v>
      </c>
      <c r="B729" s="42" t="s">
        <v>287</v>
      </c>
      <c r="C729" s="37">
        <v>1</v>
      </c>
      <c r="D729" s="37">
        <v>5</v>
      </c>
      <c r="E729" s="62">
        <v>1514</v>
      </c>
      <c r="F729" s="80">
        <f t="shared" si="209"/>
        <v>1514</v>
      </c>
      <c r="G729" s="80"/>
      <c r="H729" s="62"/>
      <c r="I729" s="62"/>
      <c r="J729" s="40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0">
        <f t="shared" si="210"/>
        <v>0</v>
      </c>
      <c r="X729" s="41">
        <f t="shared" si="211"/>
        <v>1514</v>
      </c>
      <c r="Y729" s="41">
        <f t="shared" si="212"/>
        <v>18168</v>
      </c>
    </row>
    <row r="730" spans="1:25" ht="22.5" customHeight="1">
      <c r="A730" s="42">
        <v>5</v>
      </c>
      <c r="B730" s="42" t="s">
        <v>392</v>
      </c>
      <c r="C730" s="37">
        <v>1</v>
      </c>
      <c r="D730" s="37">
        <v>6</v>
      </c>
      <c r="E730" s="62">
        <v>1614</v>
      </c>
      <c r="F730" s="80">
        <f t="shared" si="209"/>
        <v>1614</v>
      </c>
      <c r="G730" s="80"/>
      <c r="H730" s="62"/>
      <c r="I730" s="62"/>
      <c r="J730" s="40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0">
        <f t="shared" si="210"/>
        <v>0</v>
      </c>
      <c r="X730" s="41">
        <f t="shared" si="211"/>
        <v>1614</v>
      </c>
      <c r="Y730" s="41">
        <f t="shared" si="212"/>
        <v>19368</v>
      </c>
    </row>
    <row r="731" spans="1:25" ht="22.5" customHeight="1">
      <c r="A731" s="42">
        <v>6</v>
      </c>
      <c r="B731" s="42" t="s">
        <v>393</v>
      </c>
      <c r="C731" s="37">
        <v>1</v>
      </c>
      <c r="D731" s="37">
        <v>5</v>
      </c>
      <c r="E731" s="62">
        <v>1514</v>
      </c>
      <c r="F731" s="80">
        <f t="shared" si="209"/>
        <v>1514</v>
      </c>
      <c r="G731" s="80"/>
      <c r="H731" s="62"/>
      <c r="I731" s="62"/>
      <c r="J731" s="40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0">
        <f t="shared" si="210"/>
        <v>0</v>
      </c>
      <c r="X731" s="41">
        <f t="shared" si="211"/>
        <v>1514</v>
      </c>
      <c r="Y731" s="41">
        <f t="shared" si="212"/>
        <v>18168</v>
      </c>
    </row>
    <row r="732" spans="1:25" ht="22.5" customHeight="1">
      <c r="A732" s="42">
        <v>7</v>
      </c>
      <c r="B732" s="42" t="s">
        <v>394</v>
      </c>
      <c r="C732" s="37">
        <v>2</v>
      </c>
      <c r="D732" s="37">
        <v>5</v>
      </c>
      <c r="E732" s="62">
        <v>1514</v>
      </c>
      <c r="F732" s="80">
        <f t="shared" si="209"/>
        <v>3028</v>
      </c>
      <c r="G732" s="80"/>
      <c r="H732" s="62"/>
      <c r="I732" s="62"/>
      <c r="J732" s="40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0">
        <f t="shared" si="210"/>
        <v>0</v>
      </c>
      <c r="X732" s="41">
        <f t="shared" si="211"/>
        <v>3028</v>
      </c>
      <c r="Y732" s="41">
        <f t="shared" si="212"/>
        <v>36336</v>
      </c>
    </row>
    <row r="733" spans="1:25" ht="22.5" customHeight="1">
      <c r="A733" s="42">
        <v>8</v>
      </c>
      <c r="B733" s="42" t="s">
        <v>395</v>
      </c>
      <c r="C733" s="37">
        <v>1</v>
      </c>
      <c r="D733" s="37">
        <v>5</v>
      </c>
      <c r="E733" s="62">
        <v>1514</v>
      </c>
      <c r="F733" s="80">
        <f t="shared" si="209"/>
        <v>1514</v>
      </c>
      <c r="G733" s="80"/>
      <c r="H733" s="62"/>
      <c r="I733" s="62"/>
      <c r="J733" s="40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0">
        <f t="shared" si="210"/>
        <v>0</v>
      </c>
      <c r="X733" s="41">
        <f t="shared" si="211"/>
        <v>1514</v>
      </c>
      <c r="Y733" s="41">
        <f t="shared" si="212"/>
        <v>18168</v>
      </c>
    </row>
    <row r="734" spans="1:25" ht="22.5" customHeight="1">
      <c r="A734" s="42">
        <v>9</v>
      </c>
      <c r="B734" s="42" t="s">
        <v>396</v>
      </c>
      <c r="C734" s="37">
        <v>1</v>
      </c>
      <c r="D734" s="37">
        <v>4</v>
      </c>
      <c r="E734" s="62">
        <v>1414</v>
      </c>
      <c r="F734" s="80">
        <f t="shared" si="209"/>
        <v>1414</v>
      </c>
      <c r="G734" s="80"/>
      <c r="H734" s="62"/>
      <c r="I734" s="62"/>
      <c r="J734" s="40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0">
        <f t="shared" si="210"/>
        <v>0</v>
      </c>
      <c r="X734" s="41">
        <f t="shared" si="211"/>
        <v>1414</v>
      </c>
      <c r="Y734" s="41">
        <f t="shared" si="212"/>
        <v>16968</v>
      </c>
    </row>
    <row r="735" spans="1:25" ht="22.5" customHeight="1">
      <c r="A735" s="42">
        <v>10</v>
      </c>
      <c r="B735" s="42" t="s">
        <v>397</v>
      </c>
      <c r="C735" s="37">
        <f>2+1</f>
        <v>3</v>
      </c>
      <c r="D735" s="37">
        <v>4</v>
      </c>
      <c r="E735" s="62">
        <v>1414</v>
      </c>
      <c r="F735" s="80">
        <f t="shared" si="209"/>
        <v>4242</v>
      </c>
      <c r="G735" s="80"/>
      <c r="H735" s="62"/>
      <c r="I735" s="62"/>
      <c r="J735" s="40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0">
        <f t="shared" si="210"/>
        <v>0</v>
      </c>
      <c r="X735" s="41">
        <f t="shared" si="211"/>
        <v>4242</v>
      </c>
      <c r="Y735" s="41">
        <f t="shared" si="212"/>
        <v>50904</v>
      </c>
    </row>
    <row r="736" spans="1:25" ht="22.5" customHeight="1">
      <c r="A736" s="42">
        <v>11</v>
      </c>
      <c r="B736" s="42" t="s">
        <v>398</v>
      </c>
      <c r="C736" s="37">
        <v>2</v>
      </c>
      <c r="D736" s="37">
        <v>3</v>
      </c>
      <c r="E736" s="62">
        <v>1393</v>
      </c>
      <c r="F736" s="80">
        <f t="shared" si="209"/>
        <v>2786</v>
      </c>
      <c r="G736" s="80"/>
      <c r="H736" s="62"/>
      <c r="I736" s="62"/>
      <c r="J736" s="40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0">
        <f t="shared" si="210"/>
        <v>0</v>
      </c>
      <c r="X736" s="41">
        <f t="shared" si="211"/>
        <v>2786</v>
      </c>
      <c r="Y736" s="41">
        <f t="shared" si="212"/>
        <v>33432</v>
      </c>
    </row>
    <row r="737" spans="1:25" ht="22.5" customHeight="1">
      <c r="A737" s="42">
        <v>12</v>
      </c>
      <c r="B737" s="42" t="s">
        <v>399</v>
      </c>
      <c r="C737" s="37">
        <v>5</v>
      </c>
      <c r="D737" s="37">
        <v>3</v>
      </c>
      <c r="E737" s="62">
        <v>1393</v>
      </c>
      <c r="F737" s="80">
        <f t="shared" si="209"/>
        <v>6965</v>
      </c>
      <c r="G737" s="80"/>
      <c r="H737" s="62"/>
      <c r="I737" s="62"/>
      <c r="J737" s="40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0">
        <f t="shared" si="210"/>
        <v>0</v>
      </c>
      <c r="X737" s="41">
        <f t="shared" si="211"/>
        <v>6965</v>
      </c>
      <c r="Y737" s="41">
        <f t="shared" si="212"/>
        <v>83580</v>
      </c>
    </row>
    <row r="738" spans="1:25" ht="22.5" customHeight="1">
      <c r="A738" s="42">
        <v>13</v>
      </c>
      <c r="B738" s="42" t="s">
        <v>400</v>
      </c>
      <c r="C738" s="37">
        <v>1</v>
      </c>
      <c r="D738" s="37">
        <v>2</v>
      </c>
      <c r="E738" s="62">
        <v>1383</v>
      </c>
      <c r="F738" s="80">
        <f t="shared" si="209"/>
        <v>1383</v>
      </c>
      <c r="G738" s="80"/>
      <c r="H738" s="62"/>
      <c r="I738" s="62"/>
      <c r="J738" s="40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0">
        <f t="shared" si="210"/>
        <v>0</v>
      </c>
      <c r="X738" s="41">
        <f t="shared" si="211"/>
        <v>1383</v>
      </c>
      <c r="Y738" s="41">
        <f t="shared" si="212"/>
        <v>16596</v>
      </c>
    </row>
    <row r="739" spans="1:25" ht="22.5" customHeight="1">
      <c r="A739" s="42">
        <v>14</v>
      </c>
      <c r="B739" s="42" t="s">
        <v>401</v>
      </c>
      <c r="C739" s="37">
        <v>8</v>
      </c>
      <c r="D739" s="37">
        <v>2</v>
      </c>
      <c r="E739" s="62">
        <v>1383</v>
      </c>
      <c r="F739" s="80">
        <f t="shared" si="209"/>
        <v>11064</v>
      </c>
      <c r="G739" s="80"/>
      <c r="H739" s="62"/>
      <c r="I739" s="62"/>
      <c r="J739" s="40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0">
        <f t="shared" si="210"/>
        <v>0</v>
      </c>
      <c r="X739" s="41">
        <f t="shared" si="211"/>
        <v>11064</v>
      </c>
      <c r="Y739" s="41">
        <f t="shared" si="212"/>
        <v>132768</v>
      </c>
    </row>
    <row r="740" spans="1:25" ht="22.5" customHeight="1">
      <c r="A740" s="42">
        <v>15</v>
      </c>
      <c r="B740" s="42" t="s">
        <v>402</v>
      </c>
      <c r="C740" s="37">
        <v>2</v>
      </c>
      <c r="D740" s="37">
        <v>2</v>
      </c>
      <c r="E740" s="62">
        <v>1383</v>
      </c>
      <c r="F740" s="80">
        <f t="shared" si="209"/>
        <v>2766</v>
      </c>
      <c r="G740" s="80"/>
      <c r="H740" s="62"/>
      <c r="I740" s="62"/>
      <c r="J740" s="40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0">
        <f t="shared" si="210"/>
        <v>0</v>
      </c>
      <c r="X740" s="41">
        <f t="shared" si="211"/>
        <v>2766</v>
      </c>
      <c r="Y740" s="41">
        <f t="shared" si="212"/>
        <v>33192</v>
      </c>
    </row>
    <row r="741" spans="1:25" ht="22.5" customHeight="1">
      <c r="A741" s="42">
        <v>16</v>
      </c>
      <c r="B741" s="42" t="s">
        <v>403</v>
      </c>
      <c r="C741" s="37">
        <v>1</v>
      </c>
      <c r="D741" s="37">
        <v>6</v>
      </c>
      <c r="E741" s="62">
        <v>1614</v>
      </c>
      <c r="F741" s="80">
        <f t="shared" si="209"/>
        <v>1614</v>
      </c>
      <c r="G741" s="80"/>
      <c r="H741" s="62"/>
      <c r="I741" s="62"/>
      <c r="J741" s="40"/>
      <c r="K741" s="42"/>
      <c r="L741" s="42"/>
      <c r="M741" s="42"/>
      <c r="N741" s="42"/>
      <c r="O741" s="42"/>
      <c r="P741" s="42"/>
      <c r="Q741" s="42"/>
      <c r="R741" s="42"/>
      <c r="S741" s="42"/>
      <c r="T741" s="42">
        <f>ROUNDUP(F741*8%,0)</f>
        <v>130</v>
      </c>
      <c r="U741" s="42"/>
      <c r="V741" s="42">
        <f>ROUNDUP(F741*20%,0)</f>
        <v>323</v>
      </c>
      <c r="W741" s="40">
        <f t="shared" si="210"/>
        <v>453</v>
      </c>
      <c r="X741" s="41">
        <f t="shared" si="211"/>
        <v>2067</v>
      </c>
      <c r="Y741" s="41">
        <f t="shared" si="212"/>
        <v>24804</v>
      </c>
    </row>
    <row r="742" spans="1:25" ht="22.5" customHeight="1">
      <c r="A742" s="42">
        <v>17</v>
      </c>
      <c r="B742" s="42" t="s">
        <v>404</v>
      </c>
      <c r="C742" s="37">
        <f>4+1</f>
        <v>5</v>
      </c>
      <c r="D742" s="37">
        <v>5</v>
      </c>
      <c r="E742" s="62">
        <v>1514</v>
      </c>
      <c r="F742" s="80">
        <f t="shared" si="209"/>
        <v>7570</v>
      </c>
      <c r="G742" s="80"/>
      <c r="H742" s="62"/>
      <c r="I742" s="62"/>
      <c r="J742" s="40"/>
      <c r="K742" s="42"/>
      <c r="L742" s="42"/>
      <c r="M742" s="42"/>
      <c r="N742" s="42"/>
      <c r="O742" s="42"/>
      <c r="P742" s="42"/>
      <c r="Q742" s="42"/>
      <c r="R742" s="42"/>
      <c r="S742" s="42"/>
      <c r="T742" s="42">
        <f>ROUNDUP(F742*8%,0)</f>
        <v>606</v>
      </c>
      <c r="U742" s="42"/>
      <c r="V742" s="42"/>
      <c r="W742" s="40">
        <f t="shared" si="210"/>
        <v>606</v>
      </c>
      <c r="X742" s="41">
        <f t="shared" si="211"/>
        <v>8176</v>
      </c>
      <c r="Y742" s="41">
        <f t="shared" si="212"/>
        <v>98112</v>
      </c>
    </row>
    <row r="743" spans="1:25" ht="22.5" customHeight="1">
      <c r="A743" s="42">
        <v>18</v>
      </c>
      <c r="B743" s="42" t="s">
        <v>405</v>
      </c>
      <c r="C743" s="37">
        <v>1</v>
      </c>
      <c r="D743" s="37">
        <v>4</v>
      </c>
      <c r="E743" s="62">
        <v>1414</v>
      </c>
      <c r="F743" s="80">
        <f t="shared" si="209"/>
        <v>1414</v>
      </c>
      <c r="G743" s="80"/>
      <c r="H743" s="62"/>
      <c r="I743" s="62"/>
      <c r="J743" s="40"/>
      <c r="K743" s="42"/>
      <c r="L743" s="42"/>
      <c r="M743" s="42"/>
      <c r="N743" s="42"/>
      <c r="O743" s="42"/>
      <c r="P743" s="42"/>
      <c r="Q743" s="42"/>
      <c r="R743" s="42"/>
      <c r="S743" s="42"/>
      <c r="T743" s="42">
        <f>ROUNDUP(F743*8%,0)</f>
        <v>114</v>
      </c>
      <c r="U743" s="42"/>
      <c r="V743" s="42"/>
      <c r="W743" s="40">
        <f t="shared" si="210"/>
        <v>114</v>
      </c>
      <c r="X743" s="41">
        <f t="shared" si="211"/>
        <v>1528</v>
      </c>
      <c r="Y743" s="41">
        <f t="shared" si="212"/>
        <v>18336</v>
      </c>
    </row>
    <row r="744" spans="1:25" ht="22.5" customHeight="1">
      <c r="A744" s="42">
        <v>19</v>
      </c>
      <c r="B744" s="42" t="s">
        <v>406</v>
      </c>
      <c r="C744" s="37">
        <v>1</v>
      </c>
      <c r="D744" s="37">
        <v>3</v>
      </c>
      <c r="E744" s="62">
        <v>1393</v>
      </c>
      <c r="F744" s="80">
        <f t="shared" si="209"/>
        <v>1393</v>
      </c>
      <c r="G744" s="80"/>
      <c r="H744" s="62"/>
      <c r="I744" s="62"/>
      <c r="J744" s="40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0">
        <f t="shared" si="210"/>
        <v>0</v>
      </c>
      <c r="X744" s="41">
        <f t="shared" si="211"/>
        <v>1393</v>
      </c>
      <c r="Y744" s="41">
        <f t="shared" si="212"/>
        <v>16716</v>
      </c>
    </row>
    <row r="745" spans="1:25" ht="22.5" customHeight="1">
      <c r="A745" s="42">
        <v>20</v>
      </c>
      <c r="B745" s="42" t="s">
        <v>290</v>
      </c>
      <c r="C745" s="37">
        <v>1</v>
      </c>
      <c r="D745" s="37">
        <v>2</v>
      </c>
      <c r="E745" s="62">
        <v>1383</v>
      </c>
      <c r="F745" s="80">
        <f t="shared" si="209"/>
        <v>1383</v>
      </c>
      <c r="G745" s="80"/>
      <c r="H745" s="62"/>
      <c r="I745" s="62"/>
      <c r="J745" s="40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0">
        <f t="shared" si="210"/>
        <v>0</v>
      </c>
      <c r="X745" s="41">
        <f t="shared" si="211"/>
        <v>1383</v>
      </c>
      <c r="Y745" s="41">
        <f t="shared" si="212"/>
        <v>16596</v>
      </c>
    </row>
    <row r="746" spans="1:25" ht="22.5" customHeight="1">
      <c r="A746" s="42"/>
      <c r="B746" s="42"/>
      <c r="C746" s="73">
        <f>SUM(C726:C745)</f>
        <v>41</v>
      </c>
      <c r="D746" s="40"/>
      <c r="E746" s="42"/>
      <c r="F746" s="90">
        <f>SUM(F726:F745)</f>
        <v>60779</v>
      </c>
      <c r="G746" s="90"/>
      <c r="H746" s="77">
        <f aca="true" t="shared" si="213" ref="H746:Y746">SUM(H726:H745)</f>
        <v>0</v>
      </c>
      <c r="I746" s="77">
        <f t="shared" si="213"/>
        <v>0</v>
      </c>
      <c r="J746" s="77">
        <f t="shared" si="213"/>
        <v>0</v>
      </c>
      <c r="K746" s="77">
        <f t="shared" si="213"/>
        <v>0</v>
      </c>
      <c r="L746" s="77">
        <f t="shared" si="213"/>
        <v>0</v>
      </c>
      <c r="M746" s="77">
        <f t="shared" si="213"/>
        <v>0</v>
      </c>
      <c r="N746" s="77">
        <f t="shared" si="213"/>
        <v>0</v>
      </c>
      <c r="O746" s="77">
        <f t="shared" si="213"/>
        <v>0</v>
      </c>
      <c r="P746" s="77">
        <f t="shared" si="213"/>
        <v>0</v>
      </c>
      <c r="Q746" s="77">
        <f t="shared" si="213"/>
        <v>0</v>
      </c>
      <c r="R746" s="77">
        <f t="shared" si="213"/>
        <v>0</v>
      </c>
      <c r="S746" s="77">
        <f t="shared" si="213"/>
        <v>0</v>
      </c>
      <c r="T746" s="77">
        <f t="shared" si="213"/>
        <v>850</v>
      </c>
      <c r="U746" s="77">
        <f t="shared" si="213"/>
        <v>0</v>
      </c>
      <c r="V746" s="77">
        <f t="shared" si="213"/>
        <v>323</v>
      </c>
      <c r="W746" s="77">
        <f t="shared" si="213"/>
        <v>1173</v>
      </c>
      <c r="X746" s="68">
        <f t="shared" si="213"/>
        <v>61952</v>
      </c>
      <c r="Y746" s="68">
        <f t="shared" si="213"/>
        <v>743424</v>
      </c>
    </row>
    <row r="747" spans="1:25" ht="22.5" customHeight="1">
      <c r="A747" s="345" t="s">
        <v>407</v>
      </c>
      <c r="B747" s="346"/>
      <c r="C747" s="346"/>
      <c r="D747" s="346"/>
      <c r="E747" s="346"/>
      <c r="F747" s="346"/>
      <c r="G747" s="346"/>
      <c r="H747" s="346"/>
      <c r="I747" s="346"/>
      <c r="J747" s="346"/>
      <c r="K747" s="346"/>
      <c r="L747" s="346"/>
      <c r="M747" s="346"/>
      <c r="N747" s="346"/>
      <c r="O747" s="346"/>
      <c r="P747" s="346"/>
      <c r="Q747" s="346"/>
      <c r="R747" s="346"/>
      <c r="S747" s="346"/>
      <c r="T747" s="346"/>
      <c r="U747" s="346"/>
      <c r="V747" s="346"/>
      <c r="W747" s="346"/>
      <c r="X747" s="346"/>
      <c r="Y747" s="347"/>
    </row>
    <row r="748" spans="1:25" ht="22.5" customHeight="1">
      <c r="A748" s="40">
        <v>1</v>
      </c>
      <c r="B748" s="42" t="s">
        <v>408</v>
      </c>
      <c r="C748" s="40">
        <v>1</v>
      </c>
      <c r="D748" s="40">
        <v>10</v>
      </c>
      <c r="E748" s="62">
        <v>2026</v>
      </c>
      <c r="F748" s="80">
        <f aca="true" t="shared" si="214" ref="F748:F756">E748*C748</f>
        <v>2026</v>
      </c>
      <c r="G748" s="80"/>
      <c r="H748" s="62"/>
      <c r="I748" s="62"/>
      <c r="J748" s="40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0">
        <f aca="true" t="shared" si="215" ref="W748:W756">SUM(H748:V748)</f>
        <v>0</v>
      </c>
      <c r="X748" s="41">
        <f aca="true" t="shared" si="216" ref="X748:X756">C748*E748+W748</f>
        <v>2026</v>
      </c>
      <c r="Y748" s="41">
        <f aca="true" t="shared" si="217" ref="Y748:Y756">X748*12</f>
        <v>24312</v>
      </c>
    </row>
    <row r="749" spans="1:25" ht="22.5" customHeight="1">
      <c r="A749" s="40">
        <v>2</v>
      </c>
      <c r="B749" s="42" t="s">
        <v>409</v>
      </c>
      <c r="C749" s="40">
        <v>1</v>
      </c>
      <c r="D749" s="40"/>
      <c r="E749" s="62">
        <v>1823</v>
      </c>
      <c r="F749" s="80">
        <f t="shared" si="214"/>
        <v>1823</v>
      </c>
      <c r="G749" s="80"/>
      <c r="H749" s="62"/>
      <c r="I749" s="62"/>
      <c r="J749" s="54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0">
        <f t="shared" si="215"/>
        <v>0</v>
      </c>
      <c r="X749" s="41">
        <f t="shared" si="216"/>
        <v>1823</v>
      </c>
      <c r="Y749" s="41">
        <f t="shared" si="217"/>
        <v>21876</v>
      </c>
    </row>
    <row r="750" spans="1:25" ht="22.5" customHeight="1">
      <c r="A750" s="40">
        <v>3</v>
      </c>
      <c r="B750" s="42" t="s">
        <v>410</v>
      </c>
      <c r="C750" s="40">
        <v>1</v>
      </c>
      <c r="D750" s="40">
        <v>9</v>
      </c>
      <c r="E750" s="62">
        <v>1925</v>
      </c>
      <c r="F750" s="80">
        <f t="shared" si="214"/>
        <v>1925</v>
      </c>
      <c r="G750" s="80"/>
      <c r="H750" s="62"/>
      <c r="I750" s="62"/>
      <c r="J750" s="40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0">
        <f t="shared" si="215"/>
        <v>0</v>
      </c>
      <c r="X750" s="41">
        <f t="shared" si="216"/>
        <v>1925</v>
      </c>
      <c r="Y750" s="41">
        <f t="shared" si="217"/>
        <v>23100</v>
      </c>
    </row>
    <row r="751" spans="1:25" ht="22.5" customHeight="1">
      <c r="A751" s="40">
        <v>4</v>
      </c>
      <c r="B751" s="42" t="s">
        <v>64</v>
      </c>
      <c r="C751" s="40">
        <v>6</v>
      </c>
      <c r="D751" s="40">
        <v>10</v>
      </c>
      <c r="E751" s="62">
        <v>2026</v>
      </c>
      <c r="F751" s="80">
        <f t="shared" si="214"/>
        <v>12156</v>
      </c>
      <c r="G751" s="80"/>
      <c r="H751" s="62"/>
      <c r="I751" s="62"/>
      <c r="J751" s="40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0">
        <f t="shared" si="215"/>
        <v>0</v>
      </c>
      <c r="X751" s="41">
        <f t="shared" si="216"/>
        <v>12156</v>
      </c>
      <c r="Y751" s="41">
        <f t="shared" si="217"/>
        <v>145872</v>
      </c>
    </row>
    <row r="752" spans="1:25" ht="22.5" customHeight="1">
      <c r="A752" s="40">
        <v>5</v>
      </c>
      <c r="B752" s="42" t="s">
        <v>65</v>
      </c>
      <c r="C752" s="40">
        <f>7-1.5-3.5+5+1</f>
        <v>8</v>
      </c>
      <c r="D752" s="40">
        <v>9</v>
      </c>
      <c r="E752" s="62">
        <v>1925</v>
      </c>
      <c r="F752" s="80">
        <f t="shared" si="214"/>
        <v>15400</v>
      </c>
      <c r="G752" s="80"/>
      <c r="H752" s="62"/>
      <c r="I752" s="62"/>
      <c r="J752" s="40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0">
        <f t="shared" si="215"/>
        <v>0</v>
      </c>
      <c r="X752" s="41">
        <f t="shared" si="216"/>
        <v>15400</v>
      </c>
      <c r="Y752" s="41">
        <f t="shared" si="217"/>
        <v>184800</v>
      </c>
    </row>
    <row r="753" spans="1:25" ht="22.5" customHeight="1">
      <c r="A753" s="40">
        <v>6</v>
      </c>
      <c r="B753" s="63" t="s">
        <v>68</v>
      </c>
      <c r="C753" s="65">
        <v>1</v>
      </c>
      <c r="D753" s="65">
        <v>7</v>
      </c>
      <c r="E753" s="40">
        <v>1714</v>
      </c>
      <c r="F753" s="41">
        <f t="shared" si="214"/>
        <v>1714</v>
      </c>
      <c r="G753" s="41"/>
      <c r="H753" s="43"/>
      <c r="I753" s="43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3">
        <f t="shared" si="215"/>
        <v>0</v>
      </c>
      <c r="X753" s="41">
        <f t="shared" si="216"/>
        <v>1714</v>
      </c>
      <c r="Y753" s="41">
        <f t="shared" si="217"/>
        <v>20568</v>
      </c>
    </row>
    <row r="754" spans="1:25" ht="22.5" customHeight="1">
      <c r="A754" s="40">
        <v>7</v>
      </c>
      <c r="B754" s="38" t="s">
        <v>104</v>
      </c>
      <c r="C754" s="37">
        <v>1</v>
      </c>
      <c r="D754" s="37">
        <v>5</v>
      </c>
      <c r="E754" s="62">
        <v>1514</v>
      </c>
      <c r="F754" s="80">
        <f t="shared" si="214"/>
        <v>1514</v>
      </c>
      <c r="G754" s="80"/>
      <c r="H754" s="62"/>
      <c r="I754" s="62"/>
      <c r="J754" s="40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0">
        <f t="shared" si="215"/>
        <v>0</v>
      </c>
      <c r="X754" s="41">
        <f t="shared" si="216"/>
        <v>1514</v>
      </c>
      <c r="Y754" s="41">
        <f t="shared" si="217"/>
        <v>18168</v>
      </c>
    </row>
    <row r="755" spans="1:25" ht="22.5" customHeight="1">
      <c r="A755" s="40">
        <v>8</v>
      </c>
      <c r="B755" s="42" t="s">
        <v>411</v>
      </c>
      <c r="C755" s="40">
        <v>1</v>
      </c>
      <c r="D755" s="40">
        <v>5</v>
      </c>
      <c r="E755" s="62">
        <v>1514</v>
      </c>
      <c r="F755" s="80">
        <f t="shared" si="214"/>
        <v>1514</v>
      </c>
      <c r="G755" s="80"/>
      <c r="H755" s="62"/>
      <c r="I755" s="62"/>
      <c r="J755" s="40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0">
        <f t="shared" si="215"/>
        <v>0</v>
      </c>
      <c r="X755" s="41">
        <f t="shared" si="216"/>
        <v>1514</v>
      </c>
      <c r="Y755" s="41">
        <f t="shared" si="217"/>
        <v>18168</v>
      </c>
    </row>
    <row r="756" spans="1:25" ht="22.5" customHeight="1">
      <c r="A756" s="40">
        <v>9</v>
      </c>
      <c r="B756" s="42" t="s">
        <v>290</v>
      </c>
      <c r="C756" s="40">
        <f>7.5-3-2.5</f>
        <v>2</v>
      </c>
      <c r="D756" s="40">
        <v>2</v>
      </c>
      <c r="E756" s="62">
        <v>1383</v>
      </c>
      <c r="F756" s="80">
        <f t="shared" si="214"/>
        <v>2766</v>
      </c>
      <c r="G756" s="80"/>
      <c r="H756" s="62"/>
      <c r="I756" s="62"/>
      <c r="J756" s="40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0">
        <f t="shared" si="215"/>
        <v>0</v>
      </c>
      <c r="X756" s="41">
        <f t="shared" si="216"/>
        <v>2766</v>
      </c>
      <c r="Y756" s="41">
        <f t="shared" si="217"/>
        <v>33192</v>
      </c>
    </row>
    <row r="757" spans="1:29" ht="22.5" customHeight="1">
      <c r="A757" s="42"/>
      <c r="B757" s="42"/>
      <c r="C757" s="73">
        <f>SUM(C748:C756)</f>
        <v>22</v>
      </c>
      <c r="D757" s="73"/>
      <c r="E757" s="42"/>
      <c r="F757" s="68">
        <f aca="true" t="shared" si="218" ref="F757:AC757">SUM(F748:F756)</f>
        <v>40838</v>
      </c>
      <c r="G757" s="68">
        <f t="shared" si="218"/>
        <v>0</v>
      </c>
      <c r="H757" s="69">
        <f t="shared" si="218"/>
        <v>0</v>
      </c>
      <c r="I757" s="69">
        <f t="shared" si="218"/>
        <v>0</v>
      </c>
      <c r="J757" s="69">
        <f t="shared" si="218"/>
        <v>0</v>
      </c>
      <c r="K757" s="69">
        <f t="shared" si="218"/>
        <v>0</v>
      </c>
      <c r="L757" s="69">
        <f t="shared" si="218"/>
        <v>0</v>
      </c>
      <c r="M757" s="69">
        <f t="shared" si="218"/>
        <v>0</v>
      </c>
      <c r="N757" s="69">
        <f t="shared" si="218"/>
        <v>0</v>
      </c>
      <c r="O757" s="69">
        <f t="shared" si="218"/>
        <v>0</v>
      </c>
      <c r="P757" s="69">
        <f t="shared" si="218"/>
        <v>0</v>
      </c>
      <c r="Q757" s="69">
        <f t="shared" si="218"/>
        <v>0</v>
      </c>
      <c r="R757" s="69">
        <f t="shared" si="218"/>
        <v>0</v>
      </c>
      <c r="S757" s="69">
        <f t="shared" si="218"/>
        <v>0</v>
      </c>
      <c r="T757" s="69">
        <f t="shared" si="218"/>
        <v>0</v>
      </c>
      <c r="U757" s="69">
        <f t="shared" si="218"/>
        <v>0</v>
      </c>
      <c r="V757" s="69">
        <f t="shared" si="218"/>
        <v>0</v>
      </c>
      <c r="W757" s="69">
        <f t="shared" si="218"/>
        <v>0</v>
      </c>
      <c r="X757" s="68">
        <f t="shared" si="218"/>
        <v>40838</v>
      </c>
      <c r="Y757" s="68">
        <f t="shared" si="218"/>
        <v>490056</v>
      </c>
      <c r="Z757" s="68">
        <f t="shared" si="218"/>
        <v>0</v>
      </c>
      <c r="AA757" s="68">
        <f t="shared" si="218"/>
        <v>0</v>
      </c>
      <c r="AB757" s="68">
        <f t="shared" si="218"/>
        <v>0</v>
      </c>
      <c r="AC757" s="68">
        <f t="shared" si="218"/>
        <v>0</v>
      </c>
    </row>
    <row r="758" spans="1:29" ht="27" customHeight="1">
      <c r="A758" s="281" t="s">
        <v>336</v>
      </c>
      <c r="B758" s="282"/>
      <c r="C758" s="282"/>
      <c r="D758" s="282"/>
      <c r="E758" s="282"/>
      <c r="F758" s="282"/>
      <c r="G758" s="282"/>
      <c r="H758" s="282"/>
      <c r="I758" s="282"/>
      <c r="J758" s="282"/>
      <c r="K758" s="282"/>
      <c r="L758" s="282"/>
      <c r="M758" s="282"/>
      <c r="N758" s="282"/>
      <c r="O758" s="282"/>
      <c r="P758" s="282"/>
      <c r="Q758" s="282"/>
      <c r="R758" s="282"/>
      <c r="S758" s="282"/>
      <c r="T758" s="282"/>
      <c r="U758" s="282"/>
      <c r="V758" s="282"/>
      <c r="W758" s="282"/>
      <c r="X758" s="282"/>
      <c r="Y758" s="283"/>
      <c r="Z758" s="158"/>
      <c r="AA758" s="158"/>
      <c r="AB758" s="158"/>
      <c r="AC758" s="158"/>
    </row>
    <row r="759" spans="1:29" ht="27" customHeight="1">
      <c r="A759" s="271" t="s">
        <v>61</v>
      </c>
      <c r="B759" s="272"/>
      <c r="C759" s="272"/>
      <c r="D759" s="272"/>
      <c r="E759" s="272"/>
      <c r="F759" s="272"/>
      <c r="G759" s="272"/>
      <c r="H759" s="272"/>
      <c r="I759" s="272"/>
      <c r="J759" s="272"/>
      <c r="K759" s="272"/>
      <c r="L759" s="272"/>
      <c r="M759" s="272"/>
      <c r="N759" s="272"/>
      <c r="O759" s="272"/>
      <c r="P759" s="272"/>
      <c r="Q759" s="272"/>
      <c r="R759" s="272"/>
      <c r="S759" s="272"/>
      <c r="T759" s="272"/>
      <c r="U759" s="272"/>
      <c r="V759" s="272"/>
      <c r="W759" s="272"/>
      <c r="X759" s="272"/>
      <c r="Y759" s="273"/>
      <c r="Z759" s="158"/>
      <c r="AA759" s="158"/>
      <c r="AB759" s="158"/>
      <c r="AC759" s="158"/>
    </row>
    <row r="760" spans="1:29" ht="24.75" customHeight="1">
      <c r="A760" s="271" t="s">
        <v>268</v>
      </c>
      <c r="B760" s="272"/>
      <c r="C760" s="272"/>
      <c r="D760" s="272"/>
      <c r="E760" s="272"/>
      <c r="F760" s="272"/>
      <c r="G760" s="272"/>
      <c r="H760" s="272"/>
      <c r="I760" s="272"/>
      <c r="J760" s="272"/>
      <c r="K760" s="272"/>
      <c r="L760" s="272"/>
      <c r="M760" s="272"/>
      <c r="N760" s="272"/>
      <c r="O760" s="272"/>
      <c r="P760" s="272"/>
      <c r="Q760" s="272"/>
      <c r="R760" s="272"/>
      <c r="S760" s="272"/>
      <c r="T760" s="272"/>
      <c r="U760" s="272"/>
      <c r="V760" s="272"/>
      <c r="W760" s="272"/>
      <c r="X760" s="272"/>
      <c r="Y760" s="273"/>
      <c r="Z760" s="158"/>
      <c r="AA760" s="158"/>
      <c r="AB760" s="158"/>
      <c r="AC760" s="158"/>
    </row>
    <row r="761" spans="1:29" ht="24.75" customHeight="1">
      <c r="A761" s="159">
        <v>1</v>
      </c>
      <c r="B761" s="159" t="s">
        <v>412</v>
      </c>
      <c r="C761" s="65">
        <v>1.5</v>
      </c>
      <c r="D761" s="160">
        <v>11</v>
      </c>
      <c r="E761" s="160">
        <v>2193</v>
      </c>
      <c r="F761" s="161">
        <f>E761*C761</f>
        <v>3289.5</v>
      </c>
      <c r="G761" s="161"/>
      <c r="H761" s="161"/>
      <c r="I761" s="42">
        <f>ROUNDUP(F761*20%,0)</f>
        <v>658</v>
      </c>
      <c r="J761" s="160"/>
      <c r="K761" s="160"/>
      <c r="L761" s="160"/>
      <c r="M761" s="160"/>
      <c r="N761" s="160"/>
      <c r="O761" s="160"/>
      <c r="P761" s="160"/>
      <c r="Q761" s="161"/>
      <c r="R761" s="160"/>
      <c r="S761" s="160"/>
      <c r="T761" s="161"/>
      <c r="U761" s="162"/>
      <c r="V761" s="162"/>
      <c r="W761" s="54">
        <f>SUM(H761:V761)</f>
        <v>658</v>
      </c>
      <c r="X761" s="41">
        <f>W761+F761</f>
        <v>3947.5</v>
      </c>
      <c r="Y761" s="41">
        <f>X761*12</f>
        <v>47370</v>
      </c>
      <c r="Z761" s="158"/>
      <c r="AA761" s="158"/>
      <c r="AB761" s="158"/>
      <c r="AC761" s="158"/>
    </row>
    <row r="762" spans="1:29" ht="24.75" customHeight="1">
      <c r="A762" s="159">
        <v>2</v>
      </c>
      <c r="B762" s="160" t="s">
        <v>413</v>
      </c>
      <c r="C762" s="65">
        <v>1.25</v>
      </c>
      <c r="D762" s="160">
        <v>9</v>
      </c>
      <c r="E762" s="160">
        <v>1925</v>
      </c>
      <c r="F762" s="161">
        <f>E762*C762</f>
        <v>2406.25</v>
      </c>
      <c r="G762" s="161"/>
      <c r="H762" s="161"/>
      <c r="I762" s="161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1"/>
      <c r="U762" s="162"/>
      <c r="V762" s="162"/>
      <c r="W762" s="54">
        <f>SUM(H762:V762)</f>
        <v>0</v>
      </c>
      <c r="X762" s="41">
        <f>W762+F762</f>
        <v>2406.25</v>
      </c>
      <c r="Y762" s="41">
        <f>X762*12</f>
        <v>28875</v>
      </c>
      <c r="Z762" s="158"/>
      <c r="AA762" s="158"/>
      <c r="AB762" s="158"/>
      <c r="AC762" s="158"/>
    </row>
    <row r="763" spans="1:29" ht="24.75" customHeight="1">
      <c r="A763" s="159">
        <v>3</v>
      </c>
      <c r="B763" s="163" t="s">
        <v>302</v>
      </c>
      <c r="C763" s="65">
        <v>0.75</v>
      </c>
      <c r="D763" s="160">
        <v>8</v>
      </c>
      <c r="E763" s="160">
        <v>1825</v>
      </c>
      <c r="F763" s="161">
        <f>E763*C763</f>
        <v>1368.75</v>
      </c>
      <c r="G763" s="161"/>
      <c r="H763" s="161"/>
      <c r="I763" s="161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1"/>
      <c r="U763" s="162"/>
      <c r="V763" s="162"/>
      <c r="W763" s="54">
        <f>SUM(H763:V763)</f>
        <v>0</v>
      </c>
      <c r="X763" s="41">
        <f>W763+F763</f>
        <v>1368.75</v>
      </c>
      <c r="Y763" s="41">
        <f>X763*12</f>
        <v>16425</v>
      </c>
      <c r="Z763" s="158"/>
      <c r="AA763" s="158"/>
      <c r="AB763" s="158"/>
      <c r="AC763" s="158"/>
    </row>
    <row r="764" spans="1:29" ht="24.75" customHeight="1">
      <c r="A764" s="159">
        <v>4</v>
      </c>
      <c r="B764" s="163" t="s">
        <v>67</v>
      </c>
      <c r="C764" s="65">
        <v>3.5</v>
      </c>
      <c r="D764" s="160">
        <v>7</v>
      </c>
      <c r="E764" s="160">
        <v>1714</v>
      </c>
      <c r="F764" s="161">
        <f>E764*C764</f>
        <v>5999</v>
      </c>
      <c r="G764" s="161"/>
      <c r="H764" s="161"/>
      <c r="I764" s="161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1"/>
      <c r="U764" s="162"/>
      <c r="V764" s="162"/>
      <c r="W764" s="54">
        <f>SUM(H764:V764)</f>
        <v>0</v>
      </c>
      <c r="X764" s="41">
        <f>W764+F764</f>
        <v>5999</v>
      </c>
      <c r="Y764" s="41">
        <f>X764*12</f>
        <v>71988</v>
      </c>
      <c r="Z764" s="158"/>
      <c r="AA764" s="158"/>
      <c r="AB764" s="158"/>
      <c r="AC764" s="158"/>
    </row>
    <row r="765" spans="1:29" ht="24.75" customHeight="1">
      <c r="A765" s="77"/>
      <c r="B765" s="164"/>
      <c r="C765" s="73">
        <f>SUM(C761:C764)</f>
        <v>7</v>
      </c>
      <c r="D765" s="73"/>
      <c r="E765" s="73"/>
      <c r="F765" s="68">
        <f>SUM(F761:F764)</f>
        <v>13063.5</v>
      </c>
      <c r="G765" s="68"/>
      <c r="H765" s="73">
        <f aca="true" t="shared" si="219" ref="H765:Y765">SUM(H761:H764)</f>
        <v>0</v>
      </c>
      <c r="I765" s="73">
        <f t="shared" si="219"/>
        <v>658</v>
      </c>
      <c r="J765" s="73">
        <f t="shared" si="219"/>
        <v>0</v>
      </c>
      <c r="K765" s="73">
        <f t="shared" si="219"/>
        <v>0</v>
      </c>
      <c r="L765" s="73">
        <f t="shared" si="219"/>
        <v>0</v>
      </c>
      <c r="M765" s="73">
        <f t="shared" si="219"/>
        <v>0</v>
      </c>
      <c r="N765" s="73">
        <f t="shared" si="219"/>
        <v>0</v>
      </c>
      <c r="O765" s="73">
        <f t="shared" si="219"/>
        <v>0</v>
      </c>
      <c r="P765" s="73">
        <f t="shared" si="219"/>
        <v>0</v>
      </c>
      <c r="Q765" s="73">
        <f t="shared" si="219"/>
        <v>0</v>
      </c>
      <c r="R765" s="73">
        <f t="shared" si="219"/>
        <v>0</v>
      </c>
      <c r="S765" s="73">
        <f t="shared" si="219"/>
        <v>0</v>
      </c>
      <c r="T765" s="73">
        <f t="shared" si="219"/>
        <v>0</v>
      </c>
      <c r="U765" s="73">
        <f t="shared" si="219"/>
        <v>0</v>
      </c>
      <c r="V765" s="73">
        <f t="shared" si="219"/>
        <v>0</v>
      </c>
      <c r="W765" s="73">
        <f t="shared" si="219"/>
        <v>658</v>
      </c>
      <c r="X765" s="68">
        <f t="shared" si="219"/>
        <v>13721.5</v>
      </c>
      <c r="Y765" s="68">
        <f t="shared" si="219"/>
        <v>164658</v>
      </c>
      <c r="Z765" s="158"/>
      <c r="AA765" s="158"/>
      <c r="AB765" s="158"/>
      <c r="AC765" s="158"/>
    </row>
    <row r="766" spans="1:29" ht="24.75" customHeight="1">
      <c r="A766" s="345" t="s">
        <v>414</v>
      </c>
      <c r="B766" s="346"/>
      <c r="C766" s="346"/>
      <c r="D766" s="346"/>
      <c r="E766" s="346"/>
      <c r="F766" s="346"/>
      <c r="G766" s="346"/>
      <c r="H766" s="346"/>
      <c r="I766" s="346"/>
      <c r="J766" s="346"/>
      <c r="K766" s="346"/>
      <c r="L766" s="346"/>
      <c r="M766" s="346"/>
      <c r="N766" s="346"/>
      <c r="O766" s="346"/>
      <c r="P766" s="346"/>
      <c r="Q766" s="346"/>
      <c r="R766" s="346"/>
      <c r="S766" s="346"/>
      <c r="T766" s="346"/>
      <c r="U766" s="346"/>
      <c r="V766" s="346"/>
      <c r="W766" s="346"/>
      <c r="X766" s="346"/>
      <c r="Y766" s="347"/>
      <c r="Z766" s="158"/>
      <c r="AA766" s="158"/>
      <c r="AB766" s="158"/>
      <c r="AC766" s="158"/>
    </row>
    <row r="767" spans="1:29" ht="24.75" customHeight="1">
      <c r="A767" s="160">
        <v>1</v>
      </c>
      <c r="B767" s="160" t="s">
        <v>84</v>
      </c>
      <c r="C767" s="65">
        <v>0.75</v>
      </c>
      <c r="D767" s="160">
        <v>12</v>
      </c>
      <c r="E767" s="160">
        <v>2360</v>
      </c>
      <c r="F767" s="161">
        <f>E767*C767</f>
        <v>1770</v>
      </c>
      <c r="G767" s="161"/>
      <c r="H767" s="42"/>
      <c r="I767" s="42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1"/>
      <c r="U767" s="162"/>
      <c r="V767" s="162"/>
      <c r="W767" s="54">
        <f>SUM(H767:V767)</f>
        <v>0</v>
      </c>
      <c r="X767" s="41">
        <f>W767+F767</f>
        <v>1770</v>
      </c>
      <c r="Y767" s="41">
        <f>X767*12</f>
        <v>21240</v>
      </c>
      <c r="Z767" s="158"/>
      <c r="AA767" s="158"/>
      <c r="AB767" s="158"/>
      <c r="AC767" s="158"/>
    </row>
    <row r="768" spans="1:29" ht="24.75" customHeight="1">
      <c r="A768" s="160">
        <v>2</v>
      </c>
      <c r="B768" s="160" t="s">
        <v>96</v>
      </c>
      <c r="C768" s="65">
        <v>0.75</v>
      </c>
      <c r="D768" s="160">
        <v>9</v>
      </c>
      <c r="E768" s="160">
        <v>1925</v>
      </c>
      <c r="F768" s="161">
        <f>E768*C768</f>
        <v>1443.75</v>
      </c>
      <c r="G768" s="161"/>
      <c r="H768" s="42"/>
      <c r="I768" s="42">
        <f>ROUNDUP(F768*20%,0)</f>
        <v>289</v>
      </c>
      <c r="J768" s="160"/>
      <c r="K768" s="160"/>
      <c r="L768" s="160"/>
      <c r="M768" s="160"/>
      <c r="N768" s="42">
        <f>ROUNDUP(F768*30%,0)</f>
        <v>434</v>
      </c>
      <c r="O768" s="160"/>
      <c r="P768" s="160"/>
      <c r="Q768" s="160"/>
      <c r="R768" s="160"/>
      <c r="S768" s="160"/>
      <c r="T768" s="161"/>
      <c r="U768" s="162"/>
      <c r="V768" s="162"/>
      <c r="W768" s="54">
        <f>SUM(H768:V768)</f>
        <v>723</v>
      </c>
      <c r="X768" s="41">
        <f>W768+F768</f>
        <v>2166.75</v>
      </c>
      <c r="Y768" s="41">
        <f>X768*12</f>
        <v>26001</v>
      </c>
      <c r="Z768" s="158"/>
      <c r="AA768" s="158"/>
      <c r="AB768" s="158"/>
      <c r="AC768" s="158"/>
    </row>
    <row r="769" spans="1:29" ht="24.75" customHeight="1">
      <c r="A769" s="160">
        <v>3</v>
      </c>
      <c r="B769" s="160" t="s">
        <v>415</v>
      </c>
      <c r="C769" s="65">
        <v>0.5</v>
      </c>
      <c r="D769" s="160">
        <v>8</v>
      </c>
      <c r="E769" s="160">
        <v>1825</v>
      </c>
      <c r="F769" s="161">
        <f>E769*C769</f>
        <v>912.5</v>
      </c>
      <c r="G769" s="161"/>
      <c r="H769" s="42">
        <f>ROUNDUP(F769*50%,0)</f>
        <v>457</v>
      </c>
      <c r="I769" s="42"/>
      <c r="J769" s="160"/>
      <c r="K769" s="160"/>
      <c r="L769" s="160"/>
      <c r="M769" s="160"/>
      <c r="N769" s="42">
        <f>ROUNDUP(F769*10%,0)</f>
        <v>92</v>
      </c>
      <c r="O769" s="160"/>
      <c r="P769" s="160"/>
      <c r="Q769" s="160"/>
      <c r="R769" s="160"/>
      <c r="S769" s="160"/>
      <c r="T769" s="161"/>
      <c r="U769" s="162"/>
      <c r="V769" s="162"/>
      <c r="W769" s="54">
        <f>SUM(H769:V769)</f>
        <v>549</v>
      </c>
      <c r="X769" s="41">
        <f>W769+F769</f>
        <v>1461.5</v>
      </c>
      <c r="Y769" s="41">
        <f>X769*12</f>
        <v>17538</v>
      </c>
      <c r="Z769" s="158"/>
      <c r="AA769" s="158"/>
      <c r="AB769" s="158"/>
      <c r="AC769" s="158"/>
    </row>
    <row r="770" spans="1:29" ht="24.75" customHeight="1">
      <c r="A770" s="77"/>
      <c r="B770" s="165"/>
      <c r="C770" s="73">
        <f>SUM(C767:C769)</f>
        <v>2</v>
      </c>
      <c r="D770" s="73"/>
      <c r="E770" s="73"/>
      <c r="F770" s="68">
        <f>SUM(F767:F769)</f>
        <v>4126.25</v>
      </c>
      <c r="G770" s="68"/>
      <c r="H770" s="73">
        <f aca="true" t="shared" si="220" ref="H770:Y770">SUM(H767:H769)</f>
        <v>457</v>
      </c>
      <c r="I770" s="73">
        <f t="shared" si="220"/>
        <v>289</v>
      </c>
      <c r="J770" s="73">
        <f t="shared" si="220"/>
        <v>0</v>
      </c>
      <c r="K770" s="73">
        <f t="shared" si="220"/>
        <v>0</v>
      </c>
      <c r="L770" s="73">
        <f t="shared" si="220"/>
        <v>0</v>
      </c>
      <c r="M770" s="73">
        <f t="shared" si="220"/>
        <v>0</v>
      </c>
      <c r="N770" s="73">
        <f t="shared" si="220"/>
        <v>526</v>
      </c>
      <c r="O770" s="73">
        <f t="shared" si="220"/>
        <v>0</v>
      </c>
      <c r="P770" s="73">
        <f t="shared" si="220"/>
        <v>0</v>
      </c>
      <c r="Q770" s="73">
        <f t="shared" si="220"/>
        <v>0</v>
      </c>
      <c r="R770" s="73">
        <f t="shared" si="220"/>
        <v>0</v>
      </c>
      <c r="S770" s="73">
        <f t="shared" si="220"/>
        <v>0</v>
      </c>
      <c r="T770" s="73">
        <f t="shared" si="220"/>
        <v>0</v>
      </c>
      <c r="U770" s="73">
        <f t="shared" si="220"/>
        <v>0</v>
      </c>
      <c r="V770" s="73">
        <f t="shared" si="220"/>
        <v>0</v>
      </c>
      <c r="W770" s="73">
        <f t="shared" si="220"/>
        <v>1272</v>
      </c>
      <c r="X770" s="68">
        <f t="shared" si="220"/>
        <v>5398.25</v>
      </c>
      <c r="Y770" s="68">
        <f t="shared" si="220"/>
        <v>64779</v>
      </c>
      <c r="Z770" s="158"/>
      <c r="AA770" s="158"/>
      <c r="AB770" s="158"/>
      <c r="AC770" s="158"/>
    </row>
    <row r="771" spans="1:29" ht="24.75" customHeight="1">
      <c r="A771" s="77"/>
      <c r="B771" s="271" t="s">
        <v>108</v>
      </c>
      <c r="C771" s="272"/>
      <c r="D771" s="272"/>
      <c r="E771" s="272"/>
      <c r="F771" s="272"/>
      <c r="G771" s="272"/>
      <c r="H771" s="272"/>
      <c r="I771" s="272"/>
      <c r="J771" s="272"/>
      <c r="K771" s="272"/>
      <c r="L771" s="272"/>
      <c r="M771" s="272"/>
      <c r="N771" s="272"/>
      <c r="O771" s="272"/>
      <c r="P771" s="272"/>
      <c r="Q771" s="272"/>
      <c r="R771" s="272"/>
      <c r="S771" s="272"/>
      <c r="T771" s="272"/>
      <c r="U771" s="272"/>
      <c r="V771" s="272"/>
      <c r="W771" s="272"/>
      <c r="X771" s="272"/>
      <c r="Y771" s="273"/>
      <c r="Z771" s="158"/>
      <c r="AA771" s="158"/>
      <c r="AB771" s="158"/>
      <c r="AC771" s="158"/>
    </row>
    <row r="772" spans="1:29" ht="24.75" customHeight="1">
      <c r="A772" s="160">
        <v>1</v>
      </c>
      <c r="B772" s="160" t="s">
        <v>416</v>
      </c>
      <c r="C772" s="65">
        <v>1</v>
      </c>
      <c r="D772" s="160">
        <v>6</v>
      </c>
      <c r="E772" s="160">
        <v>1614</v>
      </c>
      <c r="F772" s="161">
        <f>E772*C772</f>
        <v>1614</v>
      </c>
      <c r="G772" s="161"/>
      <c r="H772" s="161"/>
      <c r="I772" s="161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1"/>
      <c r="U772" s="162"/>
      <c r="V772" s="162"/>
      <c r="W772" s="107">
        <f>SUM(H772:V772)</f>
        <v>0</v>
      </c>
      <c r="X772" s="41">
        <f>W772+F772</f>
        <v>1614</v>
      </c>
      <c r="Y772" s="41">
        <f>X772*12</f>
        <v>19368</v>
      </c>
      <c r="Z772" s="158"/>
      <c r="AA772" s="158"/>
      <c r="AB772" s="158"/>
      <c r="AC772" s="158"/>
    </row>
    <row r="773" spans="1:29" ht="24.75" customHeight="1">
      <c r="A773" s="77"/>
      <c r="B773" s="77"/>
      <c r="C773" s="73">
        <f>SUM(C772:C772)</f>
        <v>1</v>
      </c>
      <c r="D773" s="73"/>
      <c r="E773" s="73"/>
      <c r="F773" s="68">
        <f>SUM(F772:F772)</f>
        <v>1614</v>
      </c>
      <c r="G773" s="68"/>
      <c r="H773" s="68">
        <f aca="true" t="shared" si="221" ref="H773:AC773">SUM(H772:H772)</f>
        <v>0</v>
      </c>
      <c r="I773" s="68">
        <f t="shared" si="221"/>
        <v>0</v>
      </c>
      <c r="J773" s="68">
        <f t="shared" si="221"/>
        <v>0</v>
      </c>
      <c r="K773" s="68">
        <f t="shared" si="221"/>
        <v>0</v>
      </c>
      <c r="L773" s="68">
        <f t="shared" si="221"/>
        <v>0</v>
      </c>
      <c r="M773" s="68">
        <f t="shared" si="221"/>
        <v>0</v>
      </c>
      <c r="N773" s="68">
        <f t="shared" si="221"/>
        <v>0</v>
      </c>
      <c r="O773" s="68">
        <f t="shared" si="221"/>
        <v>0</v>
      </c>
      <c r="P773" s="68">
        <f t="shared" si="221"/>
        <v>0</v>
      </c>
      <c r="Q773" s="68">
        <f t="shared" si="221"/>
        <v>0</v>
      </c>
      <c r="R773" s="68">
        <f t="shared" si="221"/>
        <v>0</v>
      </c>
      <c r="S773" s="68">
        <f t="shared" si="221"/>
        <v>0</v>
      </c>
      <c r="T773" s="68">
        <f t="shared" si="221"/>
        <v>0</v>
      </c>
      <c r="U773" s="68">
        <f t="shared" si="221"/>
        <v>0</v>
      </c>
      <c r="V773" s="68">
        <f t="shared" si="221"/>
        <v>0</v>
      </c>
      <c r="W773" s="68">
        <f t="shared" si="221"/>
        <v>0</v>
      </c>
      <c r="X773" s="68">
        <f t="shared" si="221"/>
        <v>1614</v>
      </c>
      <c r="Y773" s="68">
        <f t="shared" si="221"/>
        <v>19368</v>
      </c>
      <c r="Z773" s="68">
        <f t="shared" si="221"/>
        <v>0</v>
      </c>
      <c r="AA773" s="68">
        <f t="shared" si="221"/>
        <v>0</v>
      </c>
      <c r="AB773" s="68">
        <f t="shared" si="221"/>
        <v>0</v>
      </c>
      <c r="AC773" s="68">
        <f t="shared" si="221"/>
        <v>0</v>
      </c>
    </row>
    <row r="774" spans="1:29" ht="24.75" customHeight="1">
      <c r="A774" s="345" t="s">
        <v>115</v>
      </c>
      <c r="B774" s="346"/>
      <c r="C774" s="346"/>
      <c r="D774" s="346"/>
      <c r="E774" s="346"/>
      <c r="F774" s="346"/>
      <c r="G774" s="346"/>
      <c r="H774" s="346"/>
      <c r="I774" s="346"/>
      <c r="J774" s="346"/>
      <c r="K774" s="346"/>
      <c r="L774" s="346"/>
      <c r="M774" s="346"/>
      <c r="N774" s="346"/>
      <c r="O774" s="346"/>
      <c r="P774" s="346"/>
      <c r="Q774" s="346"/>
      <c r="R774" s="346"/>
      <c r="S774" s="346"/>
      <c r="T774" s="346"/>
      <c r="U774" s="346"/>
      <c r="V774" s="346"/>
      <c r="W774" s="346"/>
      <c r="X774" s="346"/>
      <c r="Y774" s="347"/>
      <c r="Z774" s="158"/>
      <c r="AA774" s="158"/>
      <c r="AB774" s="158"/>
      <c r="AC774" s="158"/>
    </row>
    <row r="775" spans="1:29" ht="24.75" customHeight="1">
      <c r="A775" s="160">
        <v>1</v>
      </c>
      <c r="B775" s="160" t="s">
        <v>116</v>
      </c>
      <c r="C775" s="65">
        <v>1</v>
      </c>
      <c r="D775" s="160"/>
      <c r="E775" s="160">
        <v>4067</v>
      </c>
      <c r="F775" s="161">
        <f>E775*C775</f>
        <v>4067</v>
      </c>
      <c r="G775" s="161"/>
      <c r="H775" s="166"/>
      <c r="I775" s="166"/>
      <c r="J775" s="161"/>
      <c r="K775" s="161"/>
      <c r="L775" s="161"/>
      <c r="M775" s="161"/>
      <c r="N775" s="161"/>
      <c r="O775" s="161"/>
      <c r="P775" s="161"/>
      <c r="Q775" s="161"/>
      <c r="R775" s="160"/>
      <c r="S775" s="160"/>
      <c r="T775" s="161"/>
      <c r="U775" s="162"/>
      <c r="V775" s="162"/>
      <c r="W775" s="54">
        <f>SUM(H775:V775)</f>
        <v>0</v>
      </c>
      <c r="X775" s="41">
        <f>F775+W775</f>
        <v>4067</v>
      </c>
      <c r="Y775" s="41">
        <f>X775*12</f>
        <v>48804</v>
      </c>
      <c r="Z775" s="158"/>
      <c r="AA775" s="158"/>
      <c r="AB775" s="158"/>
      <c r="AC775" s="158"/>
    </row>
    <row r="776" spans="1:29" ht="24.75" customHeight="1">
      <c r="A776" s="160">
        <v>2</v>
      </c>
      <c r="B776" s="160" t="s">
        <v>417</v>
      </c>
      <c r="C776" s="65">
        <v>0.75</v>
      </c>
      <c r="D776" s="160"/>
      <c r="E776" s="160">
        <v>3660</v>
      </c>
      <c r="F776" s="161">
        <f>E776*C776</f>
        <v>2745</v>
      </c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0"/>
      <c r="S776" s="160"/>
      <c r="T776" s="161"/>
      <c r="U776" s="162"/>
      <c r="V776" s="162"/>
      <c r="W776" s="54">
        <f>SUM(H776:V776)</f>
        <v>0</v>
      </c>
      <c r="X776" s="41">
        <f>F776+W776</f>
        <v>2745</v>
      </c>
      <c r="Y776" s="41">
        <f>X776*12</f>
        <v>32940</v>
      </c>
      <c r="Z776" s="158"/>
      <c r="AA776" s="158"/>
      <c r="AB776" s="158"/>
      <c r="AC776" s="158"/>
    </row>
    <row r="777" spans="1:29" ht="24.75" customHeight="1">
      <c r="A777" s="160">
        <v>3</v>
      </c>
      <c r="B777" s="160" t="s">
        <v>119</v>
      </c>
      <c r="C777" s="65">
        <v>1</v>
      </c>
      <c r="D777" s="160">
        <v>9</v>
      </c>
      <c r="E777" s="160">
        <v>1925</v>
      </c>
      <c r="F777" s="161">
        <f>E777*C777</f>
        <v>1925</v>
      </c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0"/>
      <c r="S777" s="160"/>
      <c r="T777" s="161"/>
      <c r="U777" s="162"/>
      <c r="V777" s="162"/>
      <c r="W777" s="54">
        <f>SUM(H777:V777)</f>
        <v>0</v>
      </c>
      <c r="X777" s="41">
        <f>F777+W777</f>
        <v>1925</v>
      </c>
      <c r="Y777" s="41">
        <f>X777*12</f>
        <v>23100</v>
      </c>
      <c r="Z777" s="158"/>
      <c r="AA777" s="158"/>
      <c r="AB777" s="158"/>
      <c r="AC777" s="158"/>
    </row>
    <row r="778" spans="1:29" ht="24.75" customHeight="1">
      <c r="A778" s="160">
        <v>4</v>
      </c>
      <c r="B778" s="160" t="s">
        <v>418</v>
      </c>
      <c r="C778" s="65">
        <v>1</v>
      </c>
      <c r="D778" s="160">
        <v>8</v>
      </c>
      <c r="E778" s="160">
        <v>1825</v>
      </c>
      <c r="F778" s="161">
        <f>E778*C778</f>
        <v>1825</v>
      </c>
      <c r="G778" s="161"/>
      <c r="H778" s="161"/>
      <c r="I778" s="161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1"/>
      <c r="U778" s="162"/>
      <c r="V778" s="162"/>
      <c r="W778" s="54">
        <f>SUM(H778:V778)</f>
        <v>0</v>
      </c>
      <c r="X778" s="41">
        <f>F778+W778</f>
        <v>1825</v>
      </c>
      <c r="Y778" s="41">
        <f>X778*12</f>
        <v>21900</v>
      </c>
      <c r="Z778" s="158"/>
      <c r="AA778" s="158"/>
      <c r="AB778" s="158"/>
      <c r="AC778" s="158"/>
    </row>
    <row r="779" spans="1:29" ht="24.75" customHeight="1">
      <c r="A779" s="77"/>
      <c r="B779" s="165"/>
      <c r="C779" s="68">
        <f>SUM(C775:C778)</f>
        <v>3.75</v>
      </c>
      <c r="D779" s="68"/>
      <c r="E779" s="68"/>
      <c r="F779" s="68">
        <f>SUM(F775:F778)</f>
        <v>10562</v>
      </c>
      <c r="G779" s="68"/>
      <c r="H779" s="68">
        <f aca="true" t="shared" si="222" ref="H779:Y779">SUM(H775:H778)</f>
        <v>0</v>
      </c>
      <c r="I779" s="68">
        <f t="shared" si="222"/>
        <v>0</v>
      </c>
      <c r="J779" s="68">
        <f t="shared" si="222"/>
        <v>0</v>
      </c>
      <c r="K779" s="68">
        <f t="shared" si="222"/>
        <v>0</v>
      </c>
      <c r="L779" s="68">
        <f t="shared" si="222"/>
        <v>0</v>
      </c>
      <c r="M779" s="68">
        <f t="shared" si="222"/>
        <v>0</v>
      </c>
      <c r="N779" s="68">
        <f t="shared" si="222"/>
        <v>0</v>
      </c>
      <c r="O779" s="68">
        <f t="shared" si="222"/>
        <v>0</v>
      </c>
      <c r="P779" s="68">
        <f t="shared" si="222"/>
        <v>0</v>
      </c>
      <c r="Q779" s="68">
        <f t="shared" si="222"/>
        <v>0</v>
      </c>
      <c r="R779" s="68">
        <f t="shared" si="222"/>
        <v>0</v>
      </c>
      <c r="S779" s="68">
        <f t="shared" si="222"/>
        <v>0</v>
      </c>
      <c r="T779" s="68">
        <f t="shared" si="222"/>
        <v>0</v>
      </c>
      <c r="U779" s="68">
        <f t="shared" si="222"/>
        <v>0</v>
      </c>
      <c r="V779" s="68">
        <f t="shared" si="222"/>
        <v>0</v>
      </c>
      <c r="W779" s="68">
        <f t="shared" si="222"/>
        <v>0</v>
      </c>
      <c r="X779" s="68">
        <f t="shared" si="222"/>
        <v>10562</v>
      </c>
      <c r="Y779" s="68">
        <f t="shared" si="222"/>
        <v>126744</v>
      </c>
      <c r="Z779" s="158"/>
      <c r="AA779" s="158"/>
      <c r="AB779" s="158"/>
      <c r="AC779" s="158"/>
    </row>
    <row r="780" spans="1:29" ht="24.75" customHeight="1">
      <c r="A780" s="345" t="s">
        <v>419</v>
      </c>
      <c r="B780" s="346"/>
      <c r="C780" s="346"/>
      <c r="D780" s="346"/>
      <c r="E780" s="346"/>
      <c r="F780" s="346"/>
      <c r="G780" s="346"/>
      <c r="H780" s="346"/>
      <c r="I780" s="346"/>
      <c r="J780" s="346"/>
      <c r="K780" s="346"/>
      <c r="L780" s="346"/>
      <c r="M780" s="346"/>
      <c r="N780" s="346"/>
      <c r="O780" s="346"/>
      <c r="P780" s="346"/>
      <c r="Q780" s="346"/>
      <c r="R780" s="346"/>
      <c r="S780" s="346"/>
      <c r="T780" s="346"/>
      <c r="U780" s="346"/>
      <c r="V780" s="346"/>
      <c r="W780" s="346"/>
      <c r="X780" s="346"/>
      <c r="Y780" s="347"/>
      <c r="Z780" s="158"/>
      <c r="AA780" s="158"/>
      <c r="AB780" s="158"/>
      <c r="AC780" s="158"/>
    </row>
    <row r="781" spans="1:29" ht="24.75" customHeight="1">
      <c r="A781" s="160">
        <v>1</v>
      </c>
      <c r="B781" s="160" t="s">
        <v>420</v>
      </c>
      <c r="C781" s="65">
        <v>0.75</v>
      </c>
      <c r="D781" s="160">
        <v>12</v>
      </c>
      <c r="E781" s="160">
        <v>2360</v>
      </c>
      <c r="F781" s="161">
        <f>E781*C781</f>
        <v>1770</v>
      </c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2"/>
      <c r="V781" s="162"/>
      <c r="W781" s="54">
        <f>SUM(H781:V781)</f>
        <v>0</v>
      </c>
      <c r="X781" s="41">
        <f>W781+F781</f>
        <v>1770</v>
      </c>
      <c r="Y781" s="41">
        <f>X781*12</f>
        <v>21240</v>
      </c>
      <c r="Z781" s="158"/>
      <c r="AA781" s="158"/>
      <c r="AB781" s="158"/>
      <c r="AC781" s="158"/>
    </row>
    <row r="782" spans="1:29" ht="24.75" customHeight="1">
      <c r="A782" s="160">
        <v>2</v>
      </c>
      <c r="B782" s="160" t="s">
        <v>65</v>
      </c>
      <c r="C782" s="65">
        <v>1</v>
      </c>
      <c r="D782" s="160">
        <v>9</v>
      </c>
      <c r="E782" s="160">
        <v>1925</v>
      </c>
      <c r="F782" s="161">
        <f>E782*C782</f>
        <v>1925</v>
      </c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2"/>
      <c r="V782" s="162"/>
      <c r="W782" s="54">
        <f>SUM(H782:V782)</f>
        <v>0</v>
      </c>
      <c r="X782" s="41">
        <f>W782+F782</f>
        <v>1925</v>
      </c>
      <c r="Y782" s="41">
        <f>X782*12</f>
        <v>23100</v>
      </c>
      <c r="Z782" s="158"/>
      <c r="AA782" s="158"/>
      <c r="AB782" s="158"/>
      <c r="AC782" s="158"/>
    </row>
    <row r="783" spans="1:29" ht="24.75" customHeight="1">
      <c r="A783" s="160">
        <v>3</v>
      </c>
      <c r="B783" s="160" t="s">
        <v>421</v>
      </c>
      <c r="C783" s="65">
        <v>0.25</v>
      </c>
      <c r="D783" s="160">
        <v>5</v>
      </c>
      <c r="E783" s="160">
        <v>1514</v>
      </c>
      <c r="F783" s="161">
        <f>E783*C783</f>
        <v>378.5</v>
      </c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2"/>
      <c r="V783" s="162"/>
      <c r="W783" s="54">
        <f>SUM(H783:V783)</f>
        <v>0</v>
      </c>
      <c r="X783" s="41">
        <f>W783+F783</f>
        <v>378.5</v>
      </c>
      <c r="Y783" s="41">
        <f>X783*12</f>
        <v>4542</v>
      </c>
      <c r="Z783" s="158"/>
      <c r="AA783" s="158"/>
      <c r="AB783" s="158"/>
      <c r="AC783" s="158"/>
    </row>
    <row r="784" spans="1:29" ht="24.75" customHeight="1">
      <c r="A784" s="160">
        <v>4</v>
      </c>
      <c r="B784" s="160" t="s">
        <v>422</v>
      </c>
      <c r="C784" s="65">
        <v>4</v>
      </c>
      <c r="D784" s="160">
        <v>2</v>
      </c>
      <c r="E784" s="160">
        <v>1383</v>
      </c>
      <c r="F784" s="161">
        <f>E784*C784</f>
        <v>5532</v>
      </c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7"/>
      <c r="U784" s="162"/>
      <c r="V784" s="162"/>
      <c r="W784" s="54">
        <f>SUM(H784:V784)</f>
        <v>0</v>
      </c>
      <c r="X784" s="41">
        <f>W784+F784</f>
        <v>5532</v>
      </c>
      <c r="Y784" s="41">
        <f>X784*6</f>
        <v>33192</v>
      </c>
      <c r="Z784" s="158"/>
      <c r="AA784" s="158"/>
      <c r="AB784" s="158"/>
      <c r="AC784" s="158"/>
    </row>
    <row r="785" spans="1:29" ht="24.75" customHeight="1">
      <c r="A785" s="160">
        <v>5</v>
      </c>
      <c r="B785" s="160" t="s">
        <v>423</v>
      </c>
      <c r="C785" s="65">
        <v>0.5</v>
      </c>
      <c r="D785" s="160">
        <v>5</v>
      </c>
      <c r="E785" s="160">
        <v>1514</v>
      </c>
      <c r="F785" s="161">
        <f>E785*C785</f>
        <v>757</v>
      </c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  <c r="R785" s="161"/>
      <c r="S785" s="161"/>
      <c r="T785" s="167"/>
      <c r="U785" s="162"/>
      <c r="V785" s="162"/>
      <c r="W785" s="54">
        <f>SUM(H785:V785)</f>
        <v>0</v>
      </c>
      <c r="X785" s="41">
        <f>W785+F785</f>
        <v>757</v>
      </c>
      <c r="Y785" s="41">
        <f>X785*12</f>
        <v>9084</v>
      </c>
      <c r="Z785" s="158"/>
      <c r="AA785" s="158"/>
      <c r="AB785" s="158"/>
      <c r="AC785" s="158"/>
    </row>
    <row r="786" spans="1:29" ht="24.75" customHeight="1">
      <c r="A786" s="160"/>
      <c r="B786" s="160"/>
      <c r="C786" s="65">
        <f>SUM(C781:C785)</f>
        <v>6.5</v>
      </c>
      <c r="D786" s="160"/>
      <c r="E786" s="160"/>
      <c r="F786" s="161">
        <f>SUM(F781:F785)</f>
        <v>10362.5</v>
      </c>
      <c r="G786" s="161"/>
      <c r="H786" s="161">
        <f aca="true" t="shared" si="223" ref="H786:Y786">SUM(H781:H785)</f>
        <v>0</v>
      </c>
      <c r="I786" s="161">
        <f t="shared" si="223"/>
        <v>0</v>
      </c>
      <c r="J786" s="161">
        <f t="shared" si="223"/>
        <v>0</v>
      </c>
      <c r="K786" s="161">
        <f t="shared" si="223"/>
        <v>0</v>
      </c>
      <c r="L786" s="161">
        <f t="shared" si="223"/>
        <v>0</v>
      </c>
      <c r="M786" s="161">
        <f t="shared" si="223"/>
        <v>0</v>
      </c>
      <c r="N786" s="161">
        <f t="shared" si="223"/>
        <v>0</v>
      </c>
      <c r="O786" s="161">
        <f t="shared" si="223"/>
        <v>0</v>
      </c>
      <c r="P786" s="161">
        <f t="shared" si="223"/>
        <v>0</v>
      </c>
      <c r="Q786" s="161">
        <f t="shared" si="223"/>
        <v>0</v>
      </c>
      <c r="R786" s="161">
        <f t="shared" si="223"/>
        <v>0</v>
      </c>
      <c r="S786" s="161">
        <f t="shared" si="223"/>
        <v>0</v>
      </c>
      <c r="T786" s="161">
        <f t="shared" si="223"/>
        <v>0</v>
      </c>
      <c r="U786" s="161">
        <f t="shared" si="223"/>
        <v>0</v>
      </c>
      <c r="V786" s="161">
        <f t="shared" si="223"/>
        <v>0</v>
      </c>
      <c r="W786" s="161">
        <f t="shared" si="223"/>
        <v>0</v>
      </c>
      <c r="X786" s="90">
        <f t="shared" si="223"/>
        <v>10362.5</v>
      </c>
      <c r="Y786" s="90">
        <f t="shared" si="223"/>
        <v>91158</v>
      </c>
      <c r="Z786" s="158"/>
      <c r="AA786" s="158"/>
      <c r="AB786" s="158"/>
      <c r="AC786" s="158"/>
    </row>
    <row r="787" spans="1:29" ht="27" customHeight="1">
      <c r="A787" s="160"/>
      <c r="B787" s="271" t="s">
        <v>424</v>
      </c>
      <c r="C787" s="272"/>
      <c r="D787" s="272"/>
      <c r="E787" s="272"/>
      <c r="F787" s="272"/>
      <c r="G787" s="272"/>
      <c r="H787" s="272"/>
      <c r="I787" s="272"/>
      <c r="J787" s="272"/>
      <c r="K787" s="272"/>
      <c r="L787" s="272"/>
      <c r="M787" s="272"/>
      <c r="N787" s="272"/>
      <c r="O787" s="272"/>
      <c r="P787" s="272"/>
      <c r="Q787" s="272"/>
      <c r="R787" s="272"/>
      <c r="S787" s="272"/>
      <c r="T787" s="272"/>
      <c r="U787" s="272"/>
      <c r="V787" s="272"/>
      <c r="W787" s="272"/>
      <c r="X787" s="272"/>
      <c r="Y787" s="273"/>
      <c r="Z787" s="158"/>
      <c r="AA787" s="158"/>
      <c r="AB787" s="158"/>
      <c r="AC787" s="158"/>
    </row>
    <row r="788" spans="1:29" ht="27" customHeight="1">
      <c r="A788" s="160">
        <v>1</v>
      </c>
      <c r="B788" s="160" t="s">
        <v>425</v>
      </c>
      <c r="C788" s="65">
        <v>1</v>
      </c>
      <c r="D788" s="160">
        <v>8</v>
      </c>
      <c r="E788" s="160">
        <v>1825</v>
      </c>
      <c r="F788" s="161">
        <f>E788*C788</f>
        <v>1825</v>
      </c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2"/>
      <c r="V788" s="162"/>
      <c r="W788" s="54">
        <f>SUM(H788:V788)</f>
        <v>0</v>
      </c>
      <c r="X788" s="41">
        <f>W788+F788</f>
        <v>1825</v>
      </c>
      <c r="Y788" s="41">
        <f>X788*12</f>
        <v>21900</v>
      </c>
      <c r="Z788" s="158"/>
      <c r="AA788" s="158"/>
      <c r="AB788" s="158"/>
      <c r="AC788" s="158"/>
    </row>
    <row r="789" spans="1:29" ht="27" customHeight="1">
      <c r="A789" s="160">
        <v>2</v>
      </c>
      <c r="B789" s="160" t="s">
        <v>291</v>
      </c>
      <c r="C789" s="65">
        <v>3</v>
      </c>
      <c r="D789" s="160">
        <v>2</v>
      </c>
      <c r="E789" s="160">
        <v>1383</v>
      </c>
      <c r="F789" s="161">
        <f>E789*C789</f>
        <v>4149</v>
      </c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42">
        <f>ROUNDUP(F789*10%,0)</f>
        <v>415</v>
      </c>
      <c r="U789" s="162"/>
      <c r="V789" s="162"/>
      <c r="W789" s="54">
        <f>SUM(H789:V789)</f>
        <v>415</v>
      </c>
      <c r="X789" s="41">
        <f>W789+F789</f>
        <v>4564</v>
      </c>
      <c r="Y789" s="41">
        <f>X789*12</f>
        <v>54768</v>
      </c>
      <c r="Z789" s="158"/>
      <c r="AA789" s="158"/>
      <c r="AB789" s="158"/>
      <c r="AC789" s="158"/>
    </row>
    <row r="790" spans="1:29" ht="27" customHeight="1">
      <c r="A790" s="160">
        <v>3</v>
      </c>
      <c r="B790" s="160" t="s">
        <v>289</v>
      </c>
      <c r="C790" s="65">
        <v>1</v>
      </c>
      <c r="D790" s="160">
        <v>2</v>
      </c>
      <c r="E790" s="160">
        <v>1383</v>
      </c>
      <c r="F790" s="161">
        <f>E790*C790</f>
        <v>1383</v>
      </c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7"/>
      <c r="U790" s="162"/>
      <c r="V790" s="162"/>
      <c r="W790" s="54">
        <f>SUM(H790:V790)</f>
        <v>0</v>
      </c>
      <c r="X790" s="41">
        <f>W790+F790</f>
        <v>1383</v>
      </c>
      <c r="Y790" s="41">
        <f>X790*12</f>
        <v>16596</v>
      </c>
      <c r="Z790" s="158"/>
      <c r="AA790" s="158"/>
      <c r="AB790" s="158"/>
      <c r="AC790" s="158"/>
    </row>
    <row r="791" spans="1:29" ht="27" customHeight="1">
      <c r="A791" s="160">
        <v>4</v>
      </c>
      <c r="B791" s="160" t="s">
        <v>139</v>
      </c>
      <c r="C791" s="65">
        <v>1</v>
      </c>
      <c r="D791" s="160">
        <v>1</v>
      </c>
      <c r="E791" s="160">
        <v>1378</v>
      </c>
      <c r="F791" s="161">
        <f>E791*C791</f>
        <v>1378</v>
      </c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2"/>
      <c r="V791" s="162"/>
      <c r="W791" s="54">
        <f>SUM(H791:V791)</f>
        <v>0</v>
      </c>
      <c r="X791" s="41">
        <f>W791+F791</f>
        <v>1378</v>
      </c>
      <c r="Y791" s="41">
        <f>X791*12</f>
        <v>16536</v>
      </c>
      <c r="Z791" s="158"/>
      <c r="AA791" s="158"/>
      <c r="AB791" s="158"/>
      <c r="AC791" s="158"/>
    </row>
    <row r="792" spans="1:29" ht="27" customHeight="1">
      <c r="A792" s="77"/>
      <c r="B792" s="165"/>
      <c r="C792" s="68">
        <f>SUM(C788:C791)</f>
        <v>6</v>
      </c>
      <c r="D792" s="68"/>
      <c r="E792" s="68"/>
      <c r="F792" s="68">
        <f>SUM(F788:F791)</f>
        <v>8735</v>
      </c>
      <c r="G792" s="68"/>
      <c r="H792" s="68">
        <f aca="true" t="shared" si="224" ref="H792:Y792">SUM(H788:H791)</f>
        <v>0</v>
      </c>
      <c r="I792" s="68">
        <f t="shared" si="224"/>
        <v>0</v>
      </c>
      <c r="J792" s="68">
        <f t="shared" si="224"/>
        <v>0</v>
      </c>
      <c r="K792" s="68">
        <f t="shared" si="224"/>
        <v>0</v>
      </c>
      <c r="L792" s="68">
        <f t="shared" si="224"/>
        <v>0</v>
      </c>
      <c r="M792" s="68">
        <f t="shared" si="224"/>
        <v>0</v>
      </c>
      <c r="N792" s="68">
        <f t="shared" si="224"/>
        <v>0</v>
      </c>
      <c r="O792" s="68">
        <f t="shared" si="224"/>
        <v>0</v>
      </c>
      <c r="P792" s="68">
        <f t="shared" si="224"/>
        <v>0</v>
      </c>
      <c r="Q792" s="68">
        <f t="shared" si="224"/>
        <v>0</v>
      </c>
      <c r="R792" s="68">
        <f t="shared" si="224"/>
        <v>0</v>
      </c>
      <c r="S792" s="68">
        <f t="shared" si="224"/>
        <v>0</v>
      </c>
      <c r="T792" s="69">
        <f t="shared" si="224"/>
        <v>415</v>
      </c>
      <c r="U792" s="68">
        <f t="shared" si="224"/>
        <v>0</v>
      </c>
      <c r="V792" s="68">
        <f t="shared" si="224"/>
        <v>0</v>
      </c>
      <c r="W792" s="68">
        <f t="shared" si="224"/>
        <v>415</v>
      </c>
      <c r="X792" s="68">
        <f t="shared" si="224"/>
        <v>9150</v>
      </c>
      <c r="Y792" s="68">
        <f t="shared" si="224"/>
        <v>109800</v>
      </c>
      <c r="Z792" s="158"/>
      <c r="AA792" s="158"/>
      <c r="AB792" s="158"/>
      <c r="AC792" s="158"/>
    </row>
    <row r="793" spans="1:29" ht="34.5" customHeight="1">
      <c r="A793" s="281" t="s">
        <v>426</v>
      </c>
      <c r="B793" s="282"/>
      <c r="C793" s="282"/>
      <c r="D793" s="282"/>
      <c r="E793" s="282"/>
      <c r="F793" s="282"/>
      <c r="G793" s="282"/>
      <c r="H793" s="282"/>
      <c r="I793" s="282"/>
      <c r="J793" s="282"/>
      <c r="K793" s="282"/>
      <c r="L793" s="282"/>
      <c r="M793" s="282"/>
      <c r="N793" s="282"/>
      <c r="O793" s="282"/>
      <c r="P793" s="282"/>
      <c r="Q793" s="282"/>
      <c r="R793" s="282"/>
      <c r="S793" s="282"/>
      <c r="T793" s="282"/>
      <c r="U793" s="282"/>
      <c r="V793" s="282"/>
      <c r="W793" s="282"/>
      <c r="X793" s="282"/>
      <c r="Y793" s="283"/>
      <c r="Z793" s="158"/>
      <c r="AA793" s="158"/>
      <c r="AB793" s="158"/>
      <c r="AC793" s="158"/>
    </row>
    <row r="794" spans="1:29" ht="27" customHeight="1">
      <c r="A794" s="271" t="s">
        <v>427</v>
      </c>
      <c r="B794" s="272"/>
      <c r="C794" s="272"/>
      <c r="D794" s="272"/>
      <c r="E794" s="272"/>
      <c r="F794" s="272"/>
      <c r="G794" s="272"/>
      <c r="H794" s="272"/>
      <c r="I794" s="272"/>
      <c r="J794" s="272"/>
      <c r="K794" s="272"/>
      <c r="L794" s="272"/>
      <c r="M794" s="272"/>
      <c r="N794" s="272"/>
      <c r="O794" s="272"/>
      <c r="P794" s="272"/>
      <c r="Q794" s="272"/>
      <c r="R794" s="272"/>
      <c r="S794" s="272"/>
      <c r="T794" s="272"/>
      <c r="U794" s="272"/>
      <c r="V794" s="272"/>
      <c r="W794" s="272"/>
      <c r="X794" s="272"/>
      <c r="Y794" s="273"/>
      <c r="Z794" s="158"/>
      <c r="AA794" s="158"/>
      <c r="AB794" s="158"/>
      <c r="AC794" s="158"/>
    </row>
    <row r="795" spans="1:29" s="2" customFormat="1" ht="27" customHeight="1">
      <c r="A795" s="42">
        <v>1</v>
      </c>
      <c r="B795" s="168" t="s">
        <v>428</v>
      </c>
      <c r="C795" s="169">
        <v>1</v>
      </c>
      <c r="D795" s="170">
        <v>10</v>
      </c>
      <c r="E795" s="169">
        <v>2026</v>
      </c>
      <c r="F795" s="171">
        <f>E795</f>
        <v>2026</v>
      </c>
      <c r="G795" s="171"/>
      <c r="H795" s="170"/>
      <c r="I795" s="170"/>
      <c r="J795" s="170"/>
      <c r="K795" s="170"/>
      <c r="L795" s="170"/>
      <c r="M795" s="170"/>
      <c r="N795" s="170"/>
      <c r="O795" s="170"/>
      <c r="P795" s="170"/>
      <c r="Q795" s="170"/>
      <c r="R795" s="170"/>
      <c r="S795" s="170"/>
      <c r="T795" s="170"/>
      <c r="U795" s="170"/>
      <c r="V795" s="170"/>
      <c r="W795" s="170">
        <f>SUM(H795:V795)</f>
        <v>0</v>
      </c>
      <c r="X795" s="171">
        <f>F795+W795</f>
        <v>2026</v>
      </c>
      <c r="Y795" s="171">
        <f>X795*12</f>
        <v>24312</v>
      </c>
      <c r="Z795" s="158"/>
      <c r="AA795" s="158"/>
      <c r="AB795" s="158"/>
      <c r="AC795" s="158"/>
    </row>
    <row r="796" spans="1:29" s="2" customFormat="1" ht="27" customHeight="1">
      <c r="A796" s="42">
        <v>2</v>
      </c>
      <c r="B796" s="168" t="s">
        <v>429</v>
      </c>
      <c r="C796" s="169">
        <v>1</v>
      </c>
      <c r="D796" s="169">
        <v>9</v>
      </c>
      <c r="E796" s="169">
        <v>1925</v>
      </c>
      <c r="F796" s="171">
        <f>C796*E796</f>
        <v>1925</v>
      </c>
      <c r="G796" s="171"/>
      <c r="H796" s="170"/>
      <c r="I796" s="170"/>
      <c r="J796" s="170"/>
      <c r="K796" s="170"/>
      <c r="L796" s="170"/>
      <c r="M796" s="170"/>
      <c r="N796" s="170"/>
      <c r="O796" s="170"/>
      <c r="P796" s="170"/>
      <c r="Q796" s="170"/>
      <c r="R796" s="170"/>
      <c r="S796" s="170"/>
      <c r="T796" s="170"/>
      <c r="U796" s="170"/>
      <c r="V796" s="170"/>
      <c r="W796" s="170">
        <f>SUM(H796:V796)</f>
        <v>0</v>
      </c>
      <c r="X796" s="171">
        <f>F796+W796</f>
        <v>1925</v>
      </c>
      <c r="Y796" s="171">
        <f>X796*12</f>
        <v>23100</v>
      </c>
      <c r="Z796" s="158"/>
      <c r="AA796" s="158"/>
      <c r="AB796" s="158"/>
      <c r="AC796" s="158"/>
    </row>
    <row r="797" spans="1:29" s="2" customFormat="1" ht="27" customHeight="1">
      <c r="A797" s="42">
        <v>3</v>
      </c>
      <c r="B797" s="168" t="s">
        <v>430</v>
      </c>
      <c r="C797" s="169">
        <v>1</v>
      </c>
      <c r="D797" s="169">
        <v>6</v>
      </c>
      <c r="E797" s="169">
        <v>1614</v>
      </c>
      <c r="F797" s="171">
        <f>C797*E797</f>
        <v>1614</v>
      </c>
      <c r="G797" s="171"/>
      <c r="H797" s="170"/>
      <c r="I797" s="170"/>
      <c r="J797" s="170"/>
      <c r="K797" s="170"/>
      <c r="L797" s="170"/>
      <c r="M797" s="170"/>
      <c r="N797" s="170"/>
      <c r="O797" s="170"/>
      <c r="P797" s="170"/>
      <c r="Q797" s="170"/>
      <c r="R797" s="170"/>
      <c r="S797" s="170"/>
      <c r="T797" s="170"/>
      <c r="U797" s="170"/>
      <c r="V797" s="170"/>
      <c r="W797" s="170">
        <f>SUM(H797:V797)</f>
        <v>0</v>
      </c>
      <c r="X797" s="171">
        <f>F797+W797</f>
        <v>1614</v>
      </c>
      <c r="Y797" s="171">
        <f>X797*12</f>
        <v>19368</v>
      </c>
      <c r="Z797" s="158"/>
      <c r="AA797" s="158"/>
      <c r="AB797" s="158"/>
      <c r="AC797" s="158"/>
    </row>
    <row r="798" spans="1:29" s="2" customFormat="1" ht="27" customHeight="1">
      <c r="A798" s="42"/>
      <c r="B798" s="77"/>
      <c r="C798" s="74">
        <f>SUM(C795:C797)</f>
        <v>3</v>
      </c>
      <c r="D798" s="74"/>
      <c r="E798" s="74"/>
      <c r="F798" s="70">
        <f>SUM(F795:F797)</f>
        <v>5565</v>
      </c>
      <c r="G798" s="70"/>
      <c r="H798" s="70">
        <f aca="true" t="shared" si="225" ref="H798:AC798">SUM(H795:H797)</f>
        <v>0</v>
      </c>
      <c r="I798" s="70">
        <f t="shared" si="225"/>
        <v>0</v>
      </c>
      <c r="J798" s="70">
        <f t="shared" si="225"/>
        <v>0</v>
      </c>
      <c r="K798" s="70">
        <f t="shared" si="225"/>
        <v>0</v>
      </c>
      <c r="L798" s="70">
        <f t="shared" si="225"/>
        <v>0</v>
      </c>
      <c r="M798" s="70">
        <f t="shared" si="225"/>
        <v>0</v>
      </c>
      <c r="N798" s="70">
        <f t="shared" si="225"/>
        <v>0</v>
      </c>
      <c r="O798" s="70">
        <f t="shared" si="225"/>
        <v>0</v>
      </c>
      <c r="P798" s="70">
        <f t="shared" si="225"/>
        <v>0</v>
      </c>
      <c r="Q798" s="70">
        <f t="shared" si="225"/>
        <v>0</v>
      </c>
      <c r="R798" s="70">
        <f t="shared" si="225"/>
        <v>0</v>
      </c>
      <c r="S798" s="70">
        <f t="shared" si="225"/>
        <v>0</v>
      </c>
      <c r="T798" s="70">
        <f t="shared" si="225"/>
        <v>0</v>
      </c>
      <c r="U798" s="70">
        <f t="shared" si="225"/>
        <v>0</v>
      </c>
      <c r="V798" s="70">
        <f t="shared" si="225"/>
        <v>0</v>
      </c>
      <c r="W798" s="70">
        <f t="shared" si="225"/>
        <v>0</v>
      </c>
      <c r="X798" s="70">
        <f t="shared" si="225"/>
        <v>5565</v>
      </c>
      <c r="Y798" s="70">
        <f t="shared" si="225"/>
        <v>66780</v>
      </c>
      <c r="Z798" s="70">
        <f t="shared" si="225"/>
        <v>0</v>
      </c>
      <c r="AA798" s="70">
        <f t="shared" si="225"/>
        <v>0</v>
      </c>
      <c r="AB798" s="70">
        <f t="shared" si="225"/>
        <v>0</v>
      </c>
      <c r="AC798" s="70">
        <f t="shared" si="225"/>
        <v>0</v>
      </c>
    </row>
    <row r="799" spans="1:29" s="2" customFormat="1" ht="27" customHeight="1">
      <c r="A799" s="274" t="s">
        <v>431</v>
      </c>
      <c r="B799" s="275"/>
      <c r="C799" s="275"/>
      <c r="D799" s="275"/>
      <c r="E799" s="275"/>
      <c r="F799" s="275"/>
      <c r="G799" s="275"/>
      <c r="H799" s="275"/>
      <c r="I799" s="275"/>
      <c r="J799" s="275"/>
      <c r="K799" s="275"/>
      <c r="L799" s="275"/>
      <c r="M799" s="275"/>
      <c r="N799" s="275"/>
      <c r="O799" s="275"/>
      <c r="P799" s="275"/>
      <c r="Q799" s="275"/>
      <c r="R799" s="275"/>
      <c r="S799" s="275"/>
      <c r="T799" s="275"/>
      <c r="U799" s="275"/>
      <c r="V799" s="275"/>
      <c r="W799" s="275"/>
      <c r="X799" s="275"/>
      <c r="Y799" s="276"/>
      <c r="Z799" s="172"/>
      <c r="AA799" s="172"/>
      <c r="AB799" s="172"/>
      <c r="AC799" s="172"/>
    </row>
    <row r="800" spans="1:29" s="2" customFormat="1" ht="27" customHeight="1">
      <c r="A800" s="173">
        <v>1</v>
      </c>
      <c r="B800" s="174" t="s">
        <v>432</v>
      </c>
      <c r="C800" s="175">
        <v>0.75</v>
      </c>
      <c r="D800" s="176">
        <v>9</v>
      </c>
      <c r="E800" s="176">
        <v>1925</v>
      </c>
      <c r="F800" s="177">
        <f>C800*E800</f>
        <v>1443.75</v>
      </c>
      <c r="G800" s="177"/>
      <c r="H800" s="178"/>
      <c r="I800" s="178"/>
      <c r="J800" s="178"/>
      <c r="K800" s="178"/>
      <c r="L800" s="178"/>
      <c r="M800" s="178"/>
      <c r="N800" s="178"/>
      <c r="O800" s="178"/>
      <c r="P800" s="178"/>
      <c r="Q800" s="178"/>
      <c r="R800" s="178"/>
      <c r="S800" s="178"/>
      <c r="T800" s="178"/>
      <c r="U800" s="178"/>
      <c r="V800" s="178"/>
      <c r="W800" s="179">
        <f>SUM(H800:V800)</f>
        <v>0</v>
      </c>
      <c r="X800" s="177">
        <f>F800+W800</f>
        <v>1443.75</v>
      </c>
      <c r="Y800" s="177">
        <f>X800*12</f>
        <v>17325</v>
      </c>
      <c r="Z800" s="172"/>
      <c r="AA800" s="172"/>
      <c r="AB800" s="172"/>
      <c r="AC800" s="172"/>
    </row>
    <row r="801" spans="1:29" s="2" customFormat="1" ht="27" customHeight="1">
      <c r="A801" s="277"/>
      <c r="B801" s="278"/>
      <c r="C801" s="180">
        <f>SUM(C800:C800)</f>
        <v>0.75</v>
      </c>
      <c r="D801" s="181"/>
      <c r="E801" s="181"/>
      <c r="F801" s="182">
        <f>SUM(F800:F800)</f>
        <v>1443.75</v>
      </c>
      <c r="G801" s="182"/>
      <c r="H801" s="183">
        <f aca="true" t="shared" si="226" ref="H801:Y801">SUM(H800:H800)</f>
        <v>0</v>
      </c>
      <c r="I801" s="183">
        <f t="shared" si="226"/>
        <v>0</v>
      </c>
      <c r="J801" s="183">
        <f t="shared" si="226"/>
        <v>0</v>
      </c>
      <c r="K801" s="183">
        <f t="shared" si="226"/>
        <v>0</v>
      </c>
      <c r="L801" s="183">
        <f t="shared" si="226"/>
        <v>0</v>
      </c>
      <c r="M801" s="183">
        <f t="shared" si="226"/>
        <v>0</v>
      </c>
      <c r="N801" s="183">
        <f t="shared" si="226"/>
        <v>0</v>
      </c>
      <c r="O801" s="183">
        <f t="shared" si="226"/>
        <v>0</v>
      </c>
      <c r="P801" s="183">
        <f t="shared" si="226"/>
        <v>0</v>
      </c>
      <c r="Q801" s="183">
        <f t="shared" si="226"/>
        <v>0</v>
      </c>
      <c r="R801" s="183">
        <f t="shared" si="226"/>
        <v>0</v>
      </c>
      <c r="S801" s="183">
        <f t="shared" si="226"/>
        <v>0</v>
      </c>
      <c r="T801" s="183">
        <f t="shared" si="226"/>
        <v>0</v>
      </c>
      <c r="U801" s="183">
        <f t="shared" si="226"/>
        <v>0</v>
      </c>
      <c r="V801" s="183">
        <f t="shared" si="226"/>
        <v>0</v>
      </c>
      <c r="W801" s="183">
        <f t="shared" si="226"/>
        <v>0</v>
      </c>
      <c r="X801" s="182">
        <f t="shared" si="226"/>
        <v>1443.75</v>
      </c>
      <c r="Y801" s="182">
        <f t="shared" si="226"/>
        <v>17325</v>
      </c>
      <c r="Z801" s="172"/>
      <c r="AA801" s="172"/>
      <c r="AB801" s="172"/>
      <c r="AC801" s="172"/>
    </row>
    <row r="802" spans="1:29" s="2" customFormat="1" ht="19.5" customHeight="1">
      <c r="A802" s="271" t="s">
        <v>433</v>
      </c>
      <c r="B802" s="272"/>
      <c r="C802" s="272"/>
      <c r="D802" s="272"/>
      <c r="E802" s="272"/>
      <c r="F802" s="272"/>
      <c r="G802" s="272"/>
      <c r="H802" s="272"/>
      <c r="I802" s="272"/>
      <c r="J802" s="272"/>
      <c r="K802" s="272"/>
      <c r="L802" s="272"/>
      <c r="M802" s="272"/>
      <c r="N802" s="272"/>
      <c r="O802" s="272"/>
      <c r="P802" s="272"/>
      <c r="Q802" s="272"/>
      <c r="R802" s="272"/>
      <c r="S802" s="272"/>
      <c r="T802" s="272"/>
      <c r="U802" s="272"/>
      <c r="V802" s="272"/>
      <c r="W802" s="272"/>
      <c r="X802" s="272"/>
      <c r="Y802" s="273"/>
      <c r="Z802" s="158"/>
      <c r="AA802" s="158"/>
      <c r="AB802" s="158"/>
      <c r="AC802" s="158"/>
    </row>
    <row r="803" spans="1:29" s="2" customFormat="1" ht="27" customHeight="1">
      <c r="A803" s="184">
        <v>1</v>
      </c>
      <c r="B803" s="174" t="s">
        <v>434</v>
      </c>
      <c r="C803" s="185">
        <v>1</v>
      </c>
      <c r="D803" s="185">
        <v>12</v>
      </c>
      <c r="E803" s="186">
        <v>2360</v>
      </c>
      <c r="F803" s="177">
        <f>C803*E803</f>
        <v>2360</v>
      </c>
      <c r="G803" s="177"/>
      <c r="H803" s="186"/>
      <c r="I803" s="179">
        <f>ROUNDUP(F803*20%,0)</f>
        <v>472</v>
      </c>
      <c r="J803" s="186"/>
      <c r="K803" s="186"/>
      <c r="L803" s="186"/>
      <c r="M803" s="179"/>
      <c r="N803" s="179">
        <f>ROUNDUP(F803*30%,0)</f>
        <v>708</v>
      </c>
      <c r="O803" s="186"/>
      <c r="P803" s="186"/>
      <c r="Q803" s="186"/>
      <c r="R803" s="186"/>
      <c r="S803" s="186"/>
      <c r="T803" s="186"/>
      <c r="U803" s="186"/>
      <c r="V803" s="186"/>
      <c r="W803" s="179">
        <f>SUM(H803:V803)</f>
        <v>1180</v>
      </c>
      <c r="X803" s="177">
        <f>F803+W803</f>
        <v>3540</v>
      </c>
      <c r="Y803" s="177">
        <f>X803*12</f>
        <v>42480</v>
      </c>
      <c r="Z803" s="158"/>
      <c r="AA803" s="158"/>
      <c r="AB803" s="158"/>
      <c r="AC803" s="158"/>
    </row>
    <row r="804" spans="1:29" s="2" customFormat="1" ht="27" customHeight="1">
      <c r="A804" s="187">
        <v>2</v>
      </c>
      <c r="B804" s="168" t="s">
        <v>435</v>
      </c>
      <c r="C804" s="169">
        <v>4.5</v>
      </c>
      <c r="D804" s="169">
        <v>10</v>
      </c>
      <c r="E804" s="169">
        <v>2026</v>
      </c>
      <c r="F804" s="171">
        <f>E804*C804</f>
        <v>9117</v>
      </c>
      <c r="G804" s="171"/>
      <c r="H804" s="170"/>
      <c r="I804" s="170">
        <f>ROUNDUP(F804*20%,0)</f>
        <v>1824</v>
      </c>
      <c r="J804" s="170"/>
      <c r="K804" s="170"/>
      <c r="L804" s="170"/>
      <c r="M804" s="42"/>
      <c r="N804" s="170">
        <f>ROUNDUP(F804*30%,0)</f>
        <v>2736</v>
      </c>
      <c r="O804" s="170"/>
      <c r="P804" s="170"/>
      <c r="Q804" s="170"/>
      <c r="R804" s="170"/>
      <c r="S804" s="170"/>
      <c r="T804" s="170"/>
      <c r="U804" s="170"/>
      <c r="V804" s="170"/>
      <c r="W804" s="170">
        <f>SUM(H804:V804)</f>
        <v>4560</v>
      </c>
      <c r="X804" s="171">
        <f>F804+W804</f>
        <v>13677</v>
      </c>
      <c r="Y804" s="177">
        <f>X804*12</f>
        <v>164124</v>
      </c>
      <c r="Z804" s="158"/>
      <c r="AA804" s="158"/>
      <c r="AB804" s="158"/>
      <c r="AC804" s="158"/>
    </row>
    <row r="805" spans="1:29" s="2" customFormat="1" ht="27" customHeight="1">
      <c r="A805" s="187">
        <v>3</v>
      </c>
      <c r="B805" s="188" t="s">
        <v>436</v>
      </c>
      <c r="C805" s="189">
        <v>0.75</v>
      </c>
      <c r="D805" s="189">
        <v>8</v>
      </c>
      <c r="E805" s="189">
        <v>1825</v>
      </c>
      <c r="F805" s="171">
        <f>E805*C805</f>
        <v>1368.75</v>
      </c>
      <c r="G805" s="171"/>
      <c r="H805" s="170"/>
      <c r="I805" s="170">
        <f>ROUNDUP(F805*20%,0)</f>
        <v>274</v>
      </c>
      <c r="J805" s="170"/>
      <c r="K805" s="170"/>
      <c r="L805" s="170"/>
      <c r="M805" s="42"/>
      <c r="N805" s="170">
        <f>ROUNDUP(F805*20%,0)</f>
        <v>274</v>
      </c>
      <c r="O805" s="170"/>
      <c r="P805" s="170"/>
      <c r="Q805" s="170"/>
      <c r="R805" s="170"/>
      <c r="S805" s="170"/>
      <c r="T805" s="170"/>
      <c r="U805" s="170"/>
      <c r="V805" s="170"/>
      <c r="W805" s="170">
        <f>SUM(H805:V805)</f>
        <v>548</v>
      </c>
      <c r="X805" s="171">
        <f>F805+W805</f>
        <v>1916.75</v>
      </c>
      <c r="Y805" s="177">
        <f>X805*12</f>
        <v>23001</v>
      </c>
      <c r="Z805" s="158"/>
      <c r="AA805" s="158"/>
      <c r="AB805" s="158"/>
      <c r="AC805" s="158"/>
    </row>
    <row r="806" spans="1:29" s="2" customFormat="1" ht="27" customHeight="1">
      <c r="A806" s="269" t="s">
        <v>437</v>
      </c>
      <c r="B806" s="270"/>
      <c r="C806" s="190">
        <f>SUM(C803:C805)</f>
        <v>6.25</v>
      </c>
      <c r="D806" s="190"/>
      <c r="E806" s="169"/>
      <c r="F806" s="190">
        <f>SUM(F803:F805)</f>
        <v>12845.75</v>
      </c>
      <c r="G806" s="190"/>
      <c r="H806" s="190">
        <f aca="true" t="shared" si="227" ref="H806:Z806">SUM(H803:H805)</f>
        <v>0</v>
      </c>
      <c r="I806" s="190">
        <f t="shared" si="227"/>
        <v>2570</v>
      </c>
      <c r="J806" s="190">
        <f t="shared" si="227"/>
        <v>0</v>
      </c>
      <c r="K806" s="190">
        <f t="shared" si="227"/>
        <v>0</v>
      </c>
      <c r="L806" s="190">
        <f t="shared" si="227"/>
        <v>0</v>
      </c>
      <c r="M806" s="190">
        <f t="shared" si="227"/>
        <v>0</v>
      </c>
      <c r="N806" s="190">
        <f t="shared" si="227"/>
        <v>3718</v>
      </c>
      <c r="O806" s="190">
        <f t="shared" si="227"/>
        <v>0</v>
      </c>
      <c r="P806" s="190">
        <f t="shared" si="227"/>
        <v>0</v>
      </c>
      <c r="Q806" s="190">
        <f t="shared" si="227"/>
        <v>0</v>
      </c>
      <c r="R806" s="190">
        <f t="shared" si="227"/>
        <v>0</v>
      </c>
      <c r="S806" s="190">
        <f t="shared" si="227"/>
        <v>0</v>
      </c>
      <c r="T806" s="190">
        <f t="shared" si="227"/>
        <v>0</v>
      </c>
      <c r="U806" s="190">
        <f t="shared" si="227"/>
        <v>0</v>
      </c>
      <c r="V806" s="190">
        <f t="shared" si="227"/>
        <v>0</v>
      </c>
      <c r="W806" s="190">
        <f t="shared" si="227"/>
        <v>6288</v>
      </c>
      <c r="X806" s="190">
        <f t="shared" si="227"/>
        <v>19133.75</v>
      </c>
      <c r="Y806" s="191">
        <f t="shared" si="227"/>
        <v>229605</v>
      </c>
      <c r="Z806" s="190">
        <f t="shared" si="227"/>
        <v>0</v>
      </c>
      <c r="AA806" s="158"/>
      <c r="AB806" s="158"/>
      <c r="AC806" s="158"/>
    </row>
    <row r="807" spans="1:29" ht="27" customHeight="1">
      <c r="A807" s="274" t="s">
        <v>438</v>
      </c>
      <c r="B807" s="275"/>
      <c r="C807" s="275"/>
      <c r="D807" s="275"/>
      <c r="E807" s="275"/>
      <c r="F807" s="275"/>
      <c r="G807" s="275"/>
      <c r="H807" s="275"/>
      <c r="I807" s="275"/>
      <c r="J807" s="275"/>
      <c r="K807" s="275"/>
      <c r="L807" s="275"/>
      <c r="M807" s="275"/>
      <c r="N807" s="275"/>
      <c r="O807" s="275"/>
      <c r="P807" s="275"/>
      <c r="Q807" s="275"/>
      <c r="R807" s="275"/>
      <c r="S807" s="275"/>
      <c r="T807" s="275"/>
      <c r="U807" s="275"/>
      <c r="V807" s="275"/>
      <c r="W807" s="275"/>
      <c r="X807" s="275"/>
      <c r="Y807" s="276"/>
      <c r="Z807" s="158"/>
      <c r="AA807" s="158"/>
      <c r="AB807" s="158"/>
      <c r="AC807" s="158"/>
    </row>
    <row r="808" spans="1:29" ht="24" customHeight="1">
      <c r="A808" s="173">
        <v>1</v>
      </c>
      <c r="B808" s="174" t="s">
        <v>439</v>
      </c>
      <c r="C808" s="173">
        <v>0.25</v>
      </c>
      <c r="D808" s="173">
        <v>12</v>
      </c>
      <c r="E808" s="173">
        <v>2360</v>
      </c>
      <c r="F808" s="192">
        <f>C808*E808</f>
        <v>590</v>
      </c>
      <c r="G808" s="192"/>
      <c r="H808" s="179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179"/>
      <c r="T808" s="179"/>
      <c r="U808" s="179"/>
      <c r="V808" s="179"/>
      <c r="W808" s="179">
        <f>SUM(H808:V808)</f>
        <v>0</v>
      </c>
      <c r="X808" s="177">
        <f>F808+W808</f>
        <v>590</v>
      </c>
      <c r="Y808" s="177">
        <f>X808*12</f>
        <v>7080</v>
      </c>
      <c r="Z808" s="158"/>
      <c r="AA808" s="158"/>
      <c r="AB808" s="158"/>
      <c r="AC808" s="158"/>
    </row>
    <row r="809" spans="1:29" ht="22.5" customHeight="1">
      <c r="A809" s="173">
        <v>2</v>
      </c>
      <c r="B809" s="174" t="s">
        <v>440</v>
      </c>
      <c r="C809" s="173">
        <v>0.25</v>
      </c>
      <c r="D809" s="173">
        <v>9</v>
      </c>
      <c r="E809" s="173">
        <v>1925</v>
      </c>
      <c r="F809" s="192">
        <f>C809*E809</f>
        <v>481.25</v>
      </c>
      <c r="G809" s="192"/>
      <c r="H809" s="179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179"/>
      <c r="T809" s="179"/>
      <c r="U809" s="179"/>
      <c r="V809" s="179"/>
      <c r="W809" s="179">
        <f>SUM(H809:V809)</f>
        <v>0</v>
      </c>
      <c r="X809" s="177">
        <f>F809+W809</f>
        <v>481.25</v>
      </c>
      <c r="Y809" s="177">
        <f>X809*12</f>
        <v>5775</v>
      </c>
      <c r="Z809" s="158"/>
      <c r="AA809" s="158"/>
      <c r="AB809" s="158"/>
      <c r="AC809" s="158"/>
    </row>
    <row r="810" spans="1:29" ht="27" customHeight="1">
      <c r="A810" s="279"/>
      <c r="B810" s="280"/>
      <c r="C810" s="193">
        <f>SUM(C808:C809)</f>
        <v>0.5</v>
      </c>
      <c r="D810" s="193"/>
      <c r="E810" s="193"/>
      <c r="F810" s="194">
        <f>SUM(F808:F809)</f>
        <v>1071.25</v>
      </c>
      <c r="G810" s="194"/>
      <c r="H810" s="195">
        <f aca="true" t="shared" si="228" ref="H810:Y810">SUM(H808:H809)</f>
        <v>0</v>
      </c>
      <c r="I810" s="195">
        <f t="shared" si="228"/>
        <v>0</v>
      </c>
      <c r="J810" s="195">
        <f t="shared" si="228"/>
        <v>0</v>
      </c>
      <c r="K810" s="195">
        <f t="shared" si="228"/>
        <v>0</v>
      </c>
      <c r="L810" s="195">
        <f t="shared" si="228"/>
        <v>0</v>
      </c>
      <c r="M810" s="195">
        <f t="shared" si="228"/>
        <v>0</v>
      </c>
      <c r="N810" s="195">
        <f t="shared" si="228"/>
        <v>0</v>
      </c>
      <c r="O810" s="195">
        <f t="shared" si="228"/>
        <v>0</v>
      </c>
      <c r="P810" s="195">
        <f t="shared" si="228"/>
        <v>0</v>
      </c>
      <c r="Q810" s="195">
        <f t="shared" si="228"/>
        <v>0</v>
      </c>
      <c r="R810" s="195">
        <f t="shared" si="228"/>
        <v>0</v>
      </c>
      <c r="S810" s="195">
        <f t="shared" si="228"/>
        <v>0</v>
      </c>
      <c r="T810" s="195">
        <f t="shared" si="228"/>
        <v>0</v>
      </c>
      <c r="U810" s="195">
        <f t="shared" si="228"/>
        <v>0</v>
      </c>
      <c r="V810" s="195">
        <f t="shared" si="228"/>
        <v>0</v>
      </c>
      <c r="W810" s="195">
        <f t="shared" si="228"/>
        <v>0</v>
      </c>
      <c r="X810" s="196">
        <f t="shared" si="228"/>
        <v>1071.25</v>
      </c>
      <c r="Y810" s="196">
        <f t="shared" si="228"/>
        <v>12855</v>
      </c>
      <c r="Z810" s="158"/>
      <c r="AA810" s="158"/>
      <c r="AB810" s="158"/>
      <c r="AC810" s="158"/>
    </row>
    <row r="811" spans="1:29" ht="18.75" customHeight="1">
      <c r="A811" s="274" t="s">
        <v>424</v>
      </c>
      <c r="B811" s="275"/>
      <c r="C811" s="275"/>
      <c r="D811" s="275"/>
      <c r="E811" s="275"/>
      <c r="F811" s="275"/>
      <c r="G811" s="275"/>
      <c r="H811" s="275"/>
      <c r="I811" s="275"/>
      <c r="J811" s="275"/>
      <c r="K811" s="275"/>
      <c r="L811" s="275"/>
      <c r="M811" s="275"/>
      <c r="N811" s="275"/>
      <c r="O811" s="275"/>
      <c r="P811" s="275"/>
      <c r="Q811" s="275"/>
      <c r="R811" s="275"/>
      <c r="S811" s="275"/>
      <c r="T811" s="275"/>
      <c r="U811" s="275"/>
      <c r="V811" s="275"/>
      <c r="W811" s="275"/>
      <c r="X811" s="275"/>
      <c r="Y811" s="276"/>
      <c r="Z811" s="158"/>
      <c r="AA811" s="158"/>
      <c r="AB811" s="158"/>
      <c r="AC811" s="158"/>
    </row>
    <row r="812" spans="1:29" ht="27" customHeight="1">
      <c r="A812" s="197">
        <v>1</v>
      </c>
      <c r="B812" s="198" t="s">
        <v>439</v>
      </c>
      <c r="C812" s="199">
        <v>0.5</v>
      </c>
      <c r="D812" s="200">
        <v>10</v>
      </c>
      <c r="E812" s="186">
        <v>2026</v>
      </c>
      <c r="F812" s="177">
        <f>C812*E812</f>
        <v>1013</v>
      </c>
      <c r="G812" s="177"/>
      <c r="H812" s="179"/>
      <c r="I812" s="179"/>
      <c r="J812" s="179"/>
      <c r="K812" s="179"/>
      <c r="L812" s="179"/>
      <c r="M812" s="179"/>
      <c r="N812" s="179"/>
      <c r="O812" s="201"/>
      <c r="P812" s="201"/>
      <c r="Q812" s="201"/>
      <c r="R812" s="201"/>
      <c r="S812" s="201"/>
      <c r="T812" s="201"/>
      <c r="U812" s="201"/>
      <c r="V812" s="201"/>
      <c r="W812" s="179">
        <f>SUM(H812:V812)</f>
        <v>0</v>
      </c>
      <c r="X812" s="177">
        <f>F812+W812</f>
        <v>1013</v>
      </c>
      <c r="Y812" s="177">
        <f>X812*12</f>
        <v>12156</v>
      </c>
      <c r="Z812" s="158"/>
      <c r="AA812" s="158"/>
      <c r="AB812" s="158"/>
      <c r="AC812" s="158"/>
    </row>
    <row r="813" spans="1:29" ht="27" customHeight="1">
      <c r="A813" s="173">
        <v>2</v>
      </c>
      <c r="B813" s="174" t="s">
        <v>441</v>
      </c>
      <c r="C813" s="174">
        <v>1</v>
      </c>
      <c r="D813" s="174">
        <v>8</v>
      </c>
      <c r="E813" s="186">
        <v>1825</v>
      </c>
      <c r="F813" s="177">
        <f>C813*E813</f>
        <v>1825</v>
      </c>
      <c r="G813" s="177"/>
      <c r="H813" s="179"/>
      <c r="I813" s="179"/>
      <c r="J813" s="179"/>
      <c r="K813" s="179"/>
      <c r="L813" s="179"/>
      <c r="M813" s="179"/>
      <c r="N813" s="179"/>
      <c r="O813" s="179"/>
      <c r="P813" s="179"/>
      <c r="Q813" s="179"/>
      <c r="R813" s="179"/>
      <c r="S813" s="179"/>
      <c r="T813" s="179"/>
      <c r="U813" s="179"/>
      <c r="V813" s="179"/>
      <c r="W813" s="179">
        <f>SUM(H813:V813)</f>
        <v>0</v>
      </c>
      <c r="X813" s="177">
        <f>F813+W813</f>
        <v>1825</v>
      </c>
      <c r="Y813" s="177">
        <f>X813*12</f>
        <v>21900</v>
      </c>
      <c r="Z813" s="158"/>
      <c r="AA813" s="158"/>
      <c r="AB813" s="158"/>
      <c r="AC813" s="158"/>
    </row>
    <row r="814" spans="1:29" ht="27" customHeight="1">
      <c r="A814" s="197">
        <v>3</v>
      </c>
      <c r="B814" s="174" t="s">
        <v>442</v>
      </c>
      <c r="C814" s="174">
        <v>0.5</v>
      </c>
      <c r="D814" s="174">
        <v>9</v>
      </c>
      <c r="E814" s="186">
        <v>1925</v>
      </c>
      <c r="F814" s="177">
        <f>C814*E814</f>
        <v>962.5</v>
      </c>
      <c r="G814" s="177"/>
      <c r="H814" s="179"/>
      <c r="I814" s="179"/>
      <c r="J814" s="179"/>
      <c r="K814" s="179"/>
      <c r="L814" s="179"/>
      <c r="M814" s="179"/>
      <c r="N814" s="179"/>
      <c r="O814" s="179"/>
      <c r="P814" s="179"/>
      <c r="Q814" s="179"/>
      <c r="R814" s="179"/>
      <c r="S814" s="179"/>
      <c r="T814" s="179"/>
      <c r="U814" s="179"/>
      <c r="V814" s="179"/>
      <c r="W814" s="179">
        <f>SUM(H814:V814)</f>
        <v>0</v>
      </c>
      <c r="X814" s="177">
        <f>F814+W814</f>
        <v>962.5</v>
      </c>
      <c r="Y814" s="177">
        <f>X814*12</f>
        <v>11550</v>
      </c>
      <c r="Z814" s="158"/>
      <c r="AA814" s="158"/>
      <c r="AB814" s="158"/>
      <c r="AC814" s="158"/>
    </row>
    <row r="815" spans="1:29" ht="27" customHeight="1">
      <c r="A815" s="173">
        <v>4</v>
      </c>
      <c r="B815" s="174" t="s">
        <v>104</v>
      </c>
      <c r="C815" s="202">
        <v>1</v>
      </c>
      <c r="D815" s="174">
        <v>5</v>
      </c>
      <c r="E815" s="186">
        <v>1514</v>
      </c>
      <c r="F815" s="177">
        <f>C815*E815</f>
        <v>1514</v>
      </c>
      <c r="G815" s="177"/>
      <c r="H815" s="179"/>
      <c r="I815" s="179"/>
      <c r="J815" s="179"/>
      <c r="K815" s="179"/>
      <c r="L815" s="179"/>
      <c r="M815" s="179"/>
      <c r="N815" s="179"/>
      <c r="O815" s="179"/>
      <c r="P815" s="179"/>
      <c r="Q815" s="179"/>
      <c r="R815" s="179"/>
      <c r="S815" s="179"/>
      <c r="T815" s="179"/>
      <c r="U815" s="179"/>
      <c r="V815" s="179"/>
      <c r="W815" s="179">
        <f>SUM(H815:V815)</f>
        <v>0</v>
      </c>
      <c r="X815" s="177">
        <f>F815+W815</f>
        <v>1514</v>
      </c>
      <c r="Y815" s="177">
        <f>X815*12</f>
        <v>18168</v>
      </c>
      <c r="Z815" s="158"/>
      <c r="AA815" s="158"/>
      <c r="AB815" s="158"/>
      <c r="AC815" s="158"/>
    </row>
    <row r="816" spans="1:29" ht="27" customHeight="1">
      <c r="A816" s="197">
        <v>5</v>
      </c>
      <c r="B816" s="174" t="s">
        <v>443</v>
      </c>
      <c r="C816" s="174">
        <v>1</v>
      </c>
      <c r="D816" s="174">
        <v>2</v>
      </c>
      <c r="E816" s="186">
        <v>1383</v>
      </c>
      <c r="F816" s="177">
        <f>C816*E816</f>
        <v>1383</v>
      </c>
      <c r="G816" s="177"/>
      <c r="H816" s="179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179"/>
      <c r="U816" s="179"/>
      <c r="V816" s="179"/>
      <c r="W816" s="179">
        <f>SUM(H816:V816)</f>
        <v>0</v>
      </c>
      <c r="X816" s="177">
        <f>F816+W816</f>
        <v>1383</v>
      </c>
      <c r="Y816" s="177">
        <f>X816*12</f>
        <v>16596</v>
      </c>
      <c r="Z816" s="158"/>
      <c r="AA816" s="158"/>
      <c r="AB816" s="158"/>
      <c r="AC816" s="158"/>
    </row>
    <row r="817" spans="1:29" ht="27" customHeight="1">
      <c r="A817" s="277" t="s">
        <v>437</v>
      </c>
      <c r="B817" s="278"/>
      <c r="C817" s="203">
        <f>SUM(C812:C816)</f>
        <v>4</v>
      </c>
      <c r="D817" s="203"/>
      <c r="E817" s="195"/>
      <c r="F817" s="195">
        <f>SUM(F812:F816)</f>
        <v>6697.5</v>
      </c>
      <c r="G817" s="195"/>
      <c r="H817" s="201">
        <f aca="true" t="shared" si="229" ref="H817:W817">SUM(H813:H816)</f>
        <v>0</v>
      </c>
      <c r="I817" s="201">
        <f t="shared" si="229"/>
        <v>0</v>
      </c>
      <c r="J817" s="201">
        <f t="shared" si="229"/>
        <v>0</v>
      </c>
      <c r="K817" s="201">
        <f t="shared" si="229"/>
        <v>0</v>
      </c>
      <c r="L817" s="201">
        <f t="shared" si="229"/>
        <v>0</v>
      </c>
      <c r="M817" s="201">
        <f t="shared" si="229"/>
        <v>0</v>
      </c>
      <c r="N817" s="201">
        <f t="shared" si="229"/>
        <v>0</v>
      </c>
      <c r="O817" s="201">
        <f t="shared" si="229"/>
        <v>0</v>
      </c>
      <c r="P817" s="201">
        <f t="shared" si="229"/>
        <v>0</v>
      </c>
      <c r="Q817" s="201">
        <f t="shared" si="229"/>
        <v>0</v>
      </c>
      <c r="R817" s="201">
        <f t="shared" si="229"/>
        <v>0</v>
      </c>
      <c r="S817" s="201">
        <f t="shared" si="229"/>
        <v>0</v>
      </c>
      <c r="T817" s="201">
        <f t="shared" si="229"/>
        <v>0</v>
      </c>
      <c r="U817" s="201">
        <f t="shared" si="229"/>
        <v>0</v>
      </c>
      <c r="V817" s="201">
        <f t="shared" si="229"/>
        <v>0</v>
      </c>
      <c r="W817" s="201">
        <f t="shared" si="229"/>
        <v>0</v>
      </c>
      <c r="X817" s="196">
        <f>SUM(X812:X816)</f>
        <v>6697.5</v>
      </c>
      <c r="Y817" s="196">
        <f>SUM(Y812:Y816)</f>
        <v>80370</v>
      </c>
      <c r="Z817" s="158"/>
      <c r="AA817" s="158"/>
      <c r="AB817" s="158"/>
      <c r="AC817" s="158"/>
    </row>
    <row r="818" spans="1:29" ht="27" customHeight="1">
      <c r="A818" s="274" t="s">
        <v>444</v>
      </c>
      <c r="B818" s="275"/>
      <c r="C818" s="275"/>
      <c r="D818" s="275"/>
      <c r="E818" s="275"/>
      <c r="F818" s="275"/>
      <c r="G818" s="275"/>
      <c r="H818" s="275"/>
      <c r="I818" s="275"/>
      <c r="J818" s="275"/>
      <c r="K818" s="275"/>
      <c r="L818" s="275"/>
      <c r="M818" s="275"/>
      <c r="N818" s="275"/>
      <c r="O818" s="275"/>
      <c r="P818" s="275"/>
      <c r="Q818" s="275"/>
      <c r="R818" s="275"/>
      <c r="S818" s="275"/>
      <c r="T818" s="275"/>
      <c r="U818" s="275"/>
      <c r="V818" s="275"/>
      <c r="W818" s="275"/>
      <c r="X818" s="275"/>
      <c r="Y818" s="276"/>
      <c r="Z818" s="158"/>
      <c r="AA818" s="158"/>
      <c r="AB818" s="158"/>
      <c r="AC818" s="158"/>
    </row>
    <row r="819" spans="1:29" ht="27" customHeight="1">
      <c r="A819" s="173">
        <v>1</v>
      </c>
      <c r="B819" s="174" t="s">
        <v>153</v>
      </c>
      <c r="C819" s="197">
        <v>4</v>
      </c>
      <c r="D819" s="197">
        <v>3</v>
      </c>
      <c r="E819" s="173">
        <v>1393</v>
      </c>
      <c r="F819" s="192">
        <f>C819*E819</f>
        <v>5572</v>
      </c>
      <c r="G819" s="192"/>
      <c r="H819" s="179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179"/>
      <c r="U819" s="179"/>
      <c r="V819" s="179">
        <v>700</v>
      </c>
      <c r="W819" s="179">
        <f>SUM(H819:V819)</f>
        <v>700</v>
      </c>
      <c r="X819" s="177">
        <f>F819+W819</f>
        <v>6272</v>
      </c>
      <c r="Y819" s="177">
        <f>X819*12</f>
        <v>75264</v>
      </c>
      <c r="Z819" s="158"/>
      <c r="AA819" s="158"/>
      <c r="AB819" s="158"/>
      <c r="AC819" s="158"/>
    </row>
    <row r="820" spans="1:29" ht="30" customHeight="1">
      <c r="A820" s="173">
        <v>2</v>
      </c>
      <c r="B820" s="204" t="s">
        <v>443</v>
      </c>
      <c r="C820" s="205">
        <v>1</v>
      </c>
      <c r="D820" s="205">
        <v>2</v>
      </c>
      <c r="E820" s="173">
        <v>1383</v>
      </c>
      <c r="F820" s="192">
        <f>C820*E820</f>
        <v>1383</v>
      </c>
      <c r="G820" s="192"/>
      <c r="H820" s="179"/>
      <c r="I820" s="179"/>
      <c r="J820" s="179"/>
      <c r="K820" s="179"/>
      <c r="L820" s="179"/>
      <c r="M820" s="179"/>
      <c r="N820" s="179"/>
      <c r="O820" s="178"/>
      <c r="P820" s="178"/>
      <c r="Q820" s="178"/>
      <c r="R820" s="178"/>
      <c r="S820" s="178"/>
      <c r="T820" s="178"/>
      <c r="U820" s="178"/>
      <c r="V820" s="178"/>
      <c r="W820" s="179">
        <f>SUM(H820:V820)</f>
        <v>0</v>
      </c>
      <c r="X820" s="177">
        <f>F820+W820</f>
        <v>1383</v>
      </c>
      <c r="Y820" s="177">
        <f>X820*12</f>
        <v>16596</v>
      </c>
      <c r="Z820" s="158"/>
      <c r="AA820" s="158"/>
      <c r="AB820" s="158"/>
      <c r="AC820" s="158"/>
    </row>
    <row r="821" spans="1:29" ht="23.25" customHeight="1">
      <c r="A821" s="277"/>
      <c r="B821" s="278"/>
      <c r="C821" s="206">
        <f>SUM(C819:C820)</f>
        <v>5</v>
      </c>
      <c r="D821" s="206"/>
      <c r="E821" s="206"/>
      <c r="F821" s="207">
        <f>SUM(F819:F820)</f>
        <v>6955</v>
      </c>
      <c r="G821" s="207"/>
      <c r="H821" s="203">
        <f aca="true" t="shared" si="230" ref="H821:Y821">SUM(H819:H820)</f>
        <v>0</v>
      </c>
      <c r="I821" s="203">
        <f t="shared" si="230"/>
        <v>0</v>
      </c>
      <c r="J821" s="203">
        <f t="shared" si="230"/>
        <v>0</v>
      </c>
      <c r="K821" s="203">
        <f t="shared" si="230"/>
        <v>0</v>
      </c>
      <c r="L821" s="203">
        <f t="shared" si="230"/>
        <v>0</v>
      </c>
      <c r="M821" s="203">
        <f t="shared" si="230"/>
        <v>0</v>
      </c>
      <c r="N821" s="203">
        <f t="shared" si="230"/>
        <v>0</v>
      </c>
      <c r="O821" s="203">
        <f t="shared" si="230"/>
        <v>0</v>
      </c>
      <c r="P821" s="203">
        <f t="shared" si="230"/>
        <v>0</v>
      </c>
      <c r="Q821" s="203">
        <f t="shared" si="230"/>
        <v>0</v>
      </c>
      <c r="R821" s="203">
        <f t="shared" si="230"/>
        <v>0</v>
      </c>
      <c r="S821" s="203">
        <f t="shared" si="230"/>
        <v>0</v>
      </c>
      <c r="T821" s="203">
        <f t="shared" si="230"/>
        <v>0</v>
      </c>
      <c r="U821" s="203">
        <f t="shared" si="230"/>
        <v>0</v>
      </c>
      <c r="V821" s="203">
        <f t="shared" si="230"/>
        <v>700</v>
      </c>
      <c r="W821" s="203">
        <f t="shared" si="230"/>
        <v>700</v>
      </c>
      <c r="X821" s="196">
        <f t="shared" si="230"/>
        <v>7655</v>
      </c>
      <c r="Y821" s="196">
        <f t="shared" si="230"/>
        <v>91860</v>
      </c>
      <c r="Z821" s="158"/>
      <c r="AA821" s="158"/>
      <c r="AB821" s="158"/>
      <c r="AC821" s="158"/>
    </row>
    <row r="822" spans="1:29" ht="42.75" customHeight="1">
      <c r="A822" s="42"/>
      <c r="B822" s="119" t="s">
        <v>252</v>
      </c>
      <c r="C822" s="68">
        <f>C711+C757+C746+C724+C703+C700+C693+C477+C471+C765+C770+C773+C779+C786+C792+C798+C806+C801+C810+C817+C821</f>
        <v>943.25</v>
      </c>
      <c r="D822" s="68"/>
      <c r="E822" s="68"/>
      <c r="F822" s="68">
        <f aca="true" t="shared" si="231" ref="F822:Y822">F711+F757+F746+F724+F703+F700+F693+F477+F471+F765+F770+F773+F779+F786+F792+F798+F806+F801+F810+F817+F821</f>
        <v>1463894.5</v>
      </c>
      <c r="G822" s="69">
        <f t="shared" si="231"/>
        <v>0</v>
      </c>
      <c r="H822" s="69">
        <f t="shared" si="231"/>
        <v>21770</v>
      </c>
      <c r="I822" s="69">
        <f t="shared" si="231"/>
        <v>17166</v>
      </c>
      <c r="J822" s="69">
        <f t="shared" si="231"/>
        <v>2193</v>
      </c>
      <c r="K822" s="69">
        <f t="shared" si="231"/>
        <v>971</v>
      </c>
      <c r="L822" s="69">
        <f t="shared" si="231"/>
        <v>0</v>
      </c>
      <c r="M822" s="69">
        <f t="shared" si="231"/>
        <v>193</v>
      </c>
      <c r="N822" s="69">
        <f t="shared" si="231"/>
        <v>27054</v>
      </c>
      <c r="O822" s="69">
        <f t="shared" si="231"/>
        <v>0</v>
      </c>
      <c r="P822" s="69">
        <f t="shared" si="231"/>
        <v>0</v>
      </c>
      <c r="Q822" s="69">
        <f t="shared" si="231"/>
        <v>507</v>
      </c>
      <c r="R822" s="69">
        <f t="shared" si="231"/>
        <v>971</v>
      </c>
      <c r="S822" s="69">
        <f t="shared" si="231"/>
        <v>633</v>
      </c>
      <c r="T822" s="69">
        <f t="shared" si="231"/>
        <v>46990</v>
      </c>
      <c r="U822" s="69">
        <f t="shared" si="231"/>
        <v>0</v>
      </c>
      <c r="V822" s="69">
        <f t="shared" si="231"/>
        <v>79651</v>
      </c>
      <c r="W822" s="69">
        <f t="shared" si="231"/>
        <v>198099</v>
      </c>
      <c r="X822" s="68">
        <f t="shared" si="231"/>
        <v>1661993.5</v>
      </c>
      <c r="Y822" s="68">
        <f t="shared" si="231"/>
        <v>19910730</v>
      </c>
      <c r="Z822" s="68" t="e">
        <f>#REF!+Z757+Z746+Z724+Z703+Z700+Z693+Z477+Z471+Z765+Z770+Z773+Z779+Z786+Z792+Z798+Z806+#REF!+Z810+Z817+Z821</f>
        <v>#REF!</v>
      </c>
      <c r="AA822" s="68" t="e">
        <f>#REF!+AA757+AA746+AA724+AA703+AA700+AA693+AA477+AA471+AA765+AA770+AA773+AA779+AA786+AA792+AA798+AA806+#REF!+AA810+AA817+AA821</f>
        <v>#REF!</v>
      </c>
      <c r="AB822" s="68" t="e">
        <f>#REF!+AB757+AB746+AB724+AB703+AB700+AB693+AB477+AB471+AB765+AB770+AB773+AB779+AB786+AB792+AB798+AB806+#REF!+AB810+AB817+AB821</f>
        <v>#REF!</v>
      </c>
      <c r="AC822" s="68" t="e">
        <f>#REF!+AC757+AC746+AC724+AC703+AC700+AC693+AC477+AC471+AC765+AC770+AC773+AC779+AC786+AC792+AC798+AC806+#REF!+AC810+AC817+AC821</f>
        <v>#REF!</v>
      </c>
    </row>
    <row r="823" spans="1:29" s="210" customFormat="1" ht="28.5" customHeight="1">
      <c r="A823" s="160"/>
      <c r="B823" s="208" t="s">
        <v>445</v>
      </c>
      <c r="C823" s="50">
        <f>C822+C435+C449+C448+C453</f>
        <v>1525.55</v>
      </c>
      <c r="D823" s="50"/>
      <c r="E823" s="50"/>
      <c r="F823" s="50">
        <f aca="true" t="shared" si="232" ref="F823:Y823">F822+F435+F449+F448+F453</f>
        <v>3427148.5</v>
      </c>
      <c r="G823" s="50">
        <f t="shared" si="232"/>
        <v>4853</v>
      </c>
      <c r="H823" s="209">
        <f t="shared" si="232"/>
        <v>21770</v>
      </c>
      <c r="I823" s="209">
        <f t="shared" si="232"/>
        <v>17166</v>
      </c>
      <c r="J823" s="209">
        <f t="shared" si="232"/>
        <v>4755</v>
      </c>
      <c r="K823" s="209">
        <f t="shared" si="232"/>
        <v>1377</v>
      </c>
      <c r="L823" s="209">
        <f t="shared" si="232"/>
        <v>1553</v>
      </c>
      <c r="M823" s="209">
        <f t="shared" si="232"/>
        <v>35005</v>
      </c>
      <c r="N823" s="209">
        <f t="shared" si="232"/>
        <v>414890</v>
      </c>
      <c r="O823" s="209">
        <f t="shared" si="232"/>
        <v>28347</v>
      </c>
      <c r="P823" s="209">
        <f t="shared" si="232"/>
        <v>31816</v>
      </c>
      <c r="Q823" s="209">
        <f t="shared" si="232"/>
        <v>110789</v>
      </c>
      <c r="R823" s="209">
        <f t="shared" si="232"/>
        <v>20564</v>
      </c>
      <c r="S823" s="209">
        <f t="shared" si="232"/>
        <v>96159</v>
      </c>
      <c r="T823" s="209">
        <f t="shared" si="232"/>
        <v>46990</v>
      </c>
      <c r="U823" s="209">
        <f t="shared" si="232"/>
        <v>2286</v>
      </c>
      <c r="V823" s="209">
        <f t="shared" si="232"/>
        <v>79651</v>
      </c>
      <c r="W823" s="209">
        <f t="shared" si="232"/>
        <v>917971</v>
      </c>
      <c r="X823" s="50">
        <f t="shared" si="232"/>
        <v>4653777</v>
      </c>
      <c r="Y823" s="50">
        <f t="shared" si="232"/>
        <v>55812132</v>
      </c>
      <c r="Z823" s="50" t="e">
        <f>Z822+Z435+Z449+Z450+Z456</f>
        <v>#REF!</v>
      </c>
      <c r="AA823" s="50" t="e">
        <f>AA822+AA435+AA449+AA450+AA456</f>
        <v>#REF!</v>
      </c>
      <c r="AB823" s="50" t="e">
        <f>AB822+AB435+AB449+AB450+AB456</f>
        <v>#REF!</v>
      </c>
      <c r="AC823" s="50" t="e">
        <f>AC822+AC435+AC449+AC450+AC456</f>
        <v>#REF!</v>
      </c>
    </row>
    <row r="824" spans="1:29" s="210" customFormat="1" ht="24" customHeight="1">
      <c r="A824" s="160"/>
      <c r="B824" s="208" t="s">
        <v>446</v>
      </c>
      <c r="C824" s="50"/>
      <c r="D824" s="50"/>
      <c r="E824" s="50"/>
      <c r="F824" s="50"/>
      <c r="G824" s="50"/>
      <c r="H824" s="209"/>
      <c r="I824" s="209"/>
      <c r="J824" s="209"/>
      <c r="K824" s="209"/>
      <c r="L824" s="209"/>
      <c r="M824" s="209"/>
      <c r="N824" s="209"/>
      <c r="O824" s="209"/>
      <c r="P824" s="209"/>
      <c r="Q824" s="209"/>
      <c r="R824" s="209"/>
      <c r="S824" s="209"/>
      <c r="T824" s="209"/>
      <c r="U824" s="209"/>
      <c r="V824" s="209"/>
      <c r="W824" s="209"/>
      <c r="X824" s="50">
        <v>258333</v>
      </c>
      <c r="Y824" s="50">
        <f>X824*12</f>
        <v>3099996</v>
      </c>
      <c r="Z824" s="211"/>
      <c r="AA824" s="211"/>
      <c r="AB824" s="211"/>
      <c r="AC824" s="211"/>
    </row>
    <row r="825" spans="1:29" s="210" customFormat="1" ht="28.5" customHeight="1">
      <c r="A825" s="160"/>
      <c r="B825" s="119" t="s">
        <v>254</v>
      </c>
      <c r="C825" s="50"/>
      <c r="D825" s="50"/>
      <c r="E825" s="50"/>
      <c r="F825" s="50"/>
      <c r="G825" s="50"/>
      <c r="H825" s="209"/>
      <c r="I825" s="209"/>
      <c r="J825" s="209"/>
      <c r="K825" s="209"/>
      <c r="L825" s="209"/>
      <c r="M825" s="209"/>
      <c r="N825" s="209"/>
      <c r="O825" s="209"/>
      <c r="P825" s="209"/>
      <c r="Q825" s="209"/>
      <c r="R825" s="209"/>
      <c r="S825" s="209"/>
      <c r="T825" s="209"/>
      <c r="U825" s="209"/>
      <c r="V825" s="209"/>
      <c r="W825" s="209"/>
      <c r="X825" s="50"/>
      <c r="Y825" s="50">
        <v>80000</v>
      </c>
      <c r="Z825" s="211"/>
      <c r="AA825" s="211"/>
      <c r="AB825" s="211"/>
      <c r="AC825" s="211"/>
    </row>
    <row r="826" spans="1:29" s="210" customFormat="1" ht="30.75" customHeight="1">
      <c r="A826" s="160"/>
      <c r="B826" s="122" t="s">
        <v>255</v>
      </c>
      <c r="C826" s="50"/>
      <c r="D826" s="50"/>
      <c r="E826" s="50"/>
      <c r="F826" s="50"/>
      <c r="G826" s="50"/>
      <c r="H826" s="209"/>
      <c r="I826" s="209"/>
      <c r="J826" s="209"/>
      <c r="K826" s="209"/>
      <c r="L826" s="209"/>
      <c r="M826" s="209"/>
      <c r="N826" s="209"/>
      <c r="O826" s="209"/>
      <c r="P826" s="209"/>
      <c r="Q826" s="209"/>
      <c r="R826" s="209"/>
      <c r="S826" s="209"/>
      <c r="T826" s="209"/>
      <c r="U826" s="209"/>
      <c r="V826" s="209"/>
      <c r="W826" s="209"/>
      <c r="X826" s="50"/>
      <c r="Y826" s="50">
        <v>975000</v>
      </c>
      <c r="Z826" s="211"/>
      <c r="AA826" s="211"/>
      <c r="AB826" s="211"/>
      <c r="AC826" s="211"/>
    </row>
    <row r="827" spans="1:29" s="210" customFormat="1" ht="32.25" customHeight="1">
      <c r="A827" s="160"/>
      <c r="B827" s="122" t="s">
        <v>256</v>
      </c>
      <c r="C827" s="50"/>
      <c r="D827" s="50"/>
      <c r="E827" s="50"/>
      <c r="F827" s="50"/>
      <c r="G827" s="50"/>
      <c r="H827" s="209"/>
      <c r="I827" s="209"/>
      <c r="J827" s="209"/>
      <c r="K827" s="209"/>
      <c r="L827" s="209"/>
      <c r="M827" s="209"/>
      <c r="N827" s="209"/>
      <c r="O827" s="209"/>
      <c r="P827" s="209"/>
      <c r="Q827" s="209"/>
      <c r="R827" s="209"/>
      <c r="S827" s="209"/>
      <c r="T827" s="209"/>
      <c r="U827" s="209"/>
      <c r="V827" s="209"/>
      <c r="W827" s="209"/>
      <c r="X827" s="50"/>
      <c r="Y827" s="50">
        <v>1017872</v>
      </c>
      <c r="Z827" s="211"/>
      <c r="AA827" s="211"/>
      <c r="AB827" s="211"/>
      <c r="AC827" s="211"/>
    </row>
    <row r="828" spans="1:29" s="210" customFormat="1" ht="30" customHeight="1" thickBot="1">
      <c r="A828" s="160"/>
      <c r="B828" s="208" t="s">
        <v>445</v>
      </c>
      <c r="C828" s="90">
        <f>C823</f>
        <v>1525.55</v>
      </c>
      <c r="D828" s="65"/>
      <c r="E828" s="160"/>
      <c r="F828" s="90">
        <f aca="true" t="shared" si="233" ref="F828:W828">F823</f>
        <v>3427148.5</v>
      </c>
      <c r="G828" s="90">
        <f t="shared" si="233"/>
        <v>4853</v>
      </c>
      <c r="H828" s="114">
        <f t="shared" si="233"/>
        <v>21770</v>
      </c>
      <c r="I828" s="114">
        <f t="shared" si="233"/>
        <v>17166</v>
      </c>
      <c r="J828" s="114">
        <f t="shared" si="233"/>
        <v>4755</v>
      </c>
      <c r="K828" s="114">
        <f t="shared" si="233"/>
        <v>1377</v>
      </c>
      <c r="L828" s="114">
        <f t="shared" si="233"/>
        <v>1553</v>
      </c>
      <c r="M828" s="114">
        <f t="shared" si="233"/>
        <v>35005</v>
      </c>
      <c r="N828" s="114">
        <f t="shared" si="233"/>
        <v>414890</v>
      </c>
      <c r="O828" s="114">
        <f t="shared" si="233"/>
        <v>28347</v>
      </c>
      <c r="P828" s="114">
        <f t="shared" si="233"/>
        <v>31816</v>
      </c>
      <c r="Q828" s="114">
        <f t="shared" si="233"/>
        <v>110789</v>
      </c>
      <c r="R828" s="114">
        <f t="shared" si="233"/>
        <v>20564</v>
      </c>
      <c r="S828" s="114">
        <f t="shared" si="233"/>
        <v>96159</v>
      </c>
      <c r="T828" s="114">
        <f t="shared" si="233"/>
        <v>46990</v>
      </c>
      <c r="U828" s="114">
        <f t="shared" si="233"/>
        <v>2286</v>
      </c>
      <c r="V828" s="114">
        <f t="shared" si="233"/>
        <v>79651</v>
      </c>
      <c r="W828" s="114">
        <f t="shared" si="233"/>
        <v>917971</v>
      </c>
      <c r="X828" s="90">
        <f>X823+X824</f>
        <v>4912110</v>
      </c>
      <c r="Y828" s="90">
        <f>SUM(Y823:Y827)</f>
        <v>60985000</v>
      </c>
      <c r="Z828" s="90" t="e">
        <f>Z823+#REF!</f>
        <v>#REF!</v>
      </c>
      <c r="AA828" s="90" t="e">
        <f>AA823+#REF!</f>
        <v>#REF!</v>
      </c>
      <c r="AB828" s="90" t="e">
        <f>AB823+#REF!</f>
        <v>#REF!</v>
      </c>
      <c r="AC828" s="90" t="e">
        <f>AC823+#REF!</f>
        <v>#REF!</v>
      </c>
    </row>
    <row r="829" spans="1:25" s="210" customFormat="1" ht="25.5" customHeight="1" thickBot="1">
      <c r="A829" s="212"/>
      <c r="B829" s="213" t="s">
        <v>447</v>
      </c>
      <c r="C829" s="214">
        <f>C828+C427</f>
        <v>4603.65</v>
      </c>
      <c r="D829" s="214"/>
      <c r="E829" s="214"/>
      <c r="F829" s="215">
        <f aca="true" t="shared" si="234" ref="F829:Y829">F828+F427</f>
        <v>10950166.5</v>
      </c>
      <c r="G829" s="215">
        <f t="shared" si="234"/>
        <v>7280</v>
      </c>
      <c r="H829" s="216">
        <f t="shared" si="234"/>
        <v>84621</v>
      </c>
      <c r="I829" s="216">
        <f t="shared" si="234"/>
        <v>109165</v>
      </c>
      <c r="J829" s="216">
        <f t="shared" si="234"/>
        <v>4755</v>
      </c>
      <c r="K829" s="216">
        <f t="shared" si="234"/>
        <v>23657</v>
      </c>
      <c r="L829" s="216">
        <f t="shared" si="234"/>
        <v>22768</v>
      </c>
      <c r="M829" s="216">
        <f t="shared" si="234"/>
        <v>35005</v>
      </c>
      <c r="N829" s="216">
        <f t="shared" si="234"/>
        <v>1750204</v>
      </c>
      <c r="O829" s="216">
        <f t="shared" si="234"/>
        <v>69260</v>
      </c>
      <c r="P829" s="215">
        <f t="shared" si="234"/>
        <v>285918</v>
      </c>
      <c r="Q829" s="216">
        <f t="shared" si="234"/>
        <v>610541</v>
      </c>
      <c r="R829" s="215">
        <f t="shared" si="234"/>
        <v>178953</v>
      </c>
      <c r="S829" s="215">
        <f t="shared" si="234"/>
        <v>457658</v>
      </c>
      <c r="T829" s="216">
        <f t="shared" si="234"/>
        <v>63533</v>
      </c>
      <c r="U829" s="217">
        <f t="shared" si="234"/>
        <v>11421</v>
      </c>
      <c r="V829" s="216">
        <f t="shared" si="234"/>
        <v>151014</v>
      </c>
      <c r="W829" s="215">
        <f t="shared" si="234"/>
        <v>3865753</v>
      </c>
      <c r="X829" s="215">
        <f t="shared" si="234"/>
        <v>15382910</v>
      </c>
      <c r="Y829" s="215">
        <f t="shared" si="234"/>
        <v>198461900</v>
      </c>
    </row>
    <row r="830" s="210" customFormat="1" ht="4.5" customHeight="1">
      <c r="D830" s="218"/>
    </row>
    <row r="831" spans="4:20" s="210" customFormat="1" ht="60.75" customHeight="1">
      <c r="D831" s="218"/>
      <c r="F831" s="219" t="s">
        <v>448</v>
      </c>
      <c r="G831" s="219"/>
      <c r="H831" s="219"/>
      <c r="I831" s="219"/>
      <c r="J831" s="219"/>
      <c r="K831" s="219"/>
      <c r="L831" s="219"/>
      <c r="M831" s="219"/>
      <c r="N831" s="219"/>
      <c r="O831" s="219"/>
      <c r="P831" s="219"/>
      <c r="Q831" s="219"/>
      <c r="R831" s="219" t="s">
        <v>449</v>
      </c>
      <c r="S831" s="219"/>
      <c r="T831" s="220"/>
    </row>
    <row r="832" spans="4:20" s="210" customFormat="1" ht="45.75" customHeight="1">
      <c r="D832" s="218"/>
      <c r="F832" s="219" t="s">
        <v>450</v>
      </c>
      <c r="G832" s="219"/>
      <c r="H832" s="219"/>
      <c r="I832" s="219"/>
      <c r="J832" s="219"/>
      <c r="K832" s="219"/>
      <c r="L832" s="219"/>
      <c r="M832" s="219"/>
      <c r="N832" s="219"/>
      <c r="O832" s="219"/>
      <c r="P832" s="219"/>
      <c r="Q832" s="219"/>
      <c r="R832" s="219" t="s">
        <v>451</v>
      </c>
      <c r="S832" s="219"/>
      <c r="T832" s="220"/>
    </row>
    <row r="833" spans="4:20" s="210" customFormat="1" ht="51" customHeight="1">
      <c r="D833" s="218"/>
      <c r="F833" s="219" t="s">
        <v>452</v>
      </c>
      <c r="G833" s="219"/>
      <c r="H833" s="219"/>
      <c r="I833" s="219"/>
      <c r="J833" s="219"/>
      <c r="K833" s="219"/>
      <c r="L833" s="219"/>
      <c r="M833" s="219"/>
      <c r="N833" s="219"/>
      <c r="O833" s="219"/>
      <c r="P833" s="219"/>
      <c r="Q833" s="219"/>
      <c r="R833" s="219" t="s">
        <v>453</v>
      </c>
      <c r="S833" s="219"/>
      <c r="T833" s="220"/>
    </row>
    <row r="834" spans="4:20" s="210" customFormat="1" ht="18">
      <c r="D834" s="218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221"/>
    </row>
  </sheetData>
  <sheetProtection/>
  <mergeCells count="133">
    <mergeCell ref="A478:Y478"/>
    <mergeCell ref="A535:Y535"/>
    <mergeCell ref="G15:G17"/>
    <mergeCell ref="A604:Y604"/>
    <mergeCell ref="A608:Y608"/>
    <mergeCell ref="A532:Y532"/>
    <mergeCell ref="A543:Y543"/>
    <mergeCell ref="A528:Y528"/>
    <mergeCell ref="A472:Y472"/>
    <mergeCell ref="A454:Y454"/>
    <mergeCell ref="A591:Y591"/>
    <mergeCell ref="A363:Y363"/>
    <mergeCell ref="A381:Y381"/>
    <mergeCell ref="A373:Y373"/>
    <mergeCell ref="A429:Y429"/>
    <mergeCell ref="A395:Y395"/>
    <mergeCell ref="A581:Y581"/>
    <mergeCell ref="A522:Y522"/>
    <mergeCell ref="A450:Y450"/>
    <mergeCell ref="A455:Y455"/>
    <mergeCell ref="A500:Y500"/>
    <mergeCell ref="A725:Y725"/>
    <mergeCell ref="A747:Y747"/>
    <mergeCell ref="A694:Y694"/>
    <mergeCell ref="A704:Y704"/>
    <mergeCell ref="A712:Y712"/>
    <mergeCell ref="A701:Y701"/>
    <mergeCell ref="A774:Y774"/>
    <mergeCell ref="A780:Y780"/>
    <mergeCell ref="A758:Y758"/>
    <mergeCell ref="A759:Y759"/>
    <mergeCell ref="A760:Y760"/>
    <mergeCell ref="A766:Y766"/>
    <mergeCell ref="B771:Y771"/>
    <mergeCell ref="A99:X99"/>
    <mergeCell ref="A353:Y353"/>
    <mergeCell ref="A331:Y331"/>
    <mergeCell ref="A286:X286"/>
    <mergeCell ref="A302:X302"/>
    <mergeCell ref="A344:Y344"/>
    <mergeCell ref="A338:Y338"/>
    <mergeCell ref="A349:Y349"/>
    <mergeCell ref="A281:X281"/>
    <mergeCell ref="A53:X53"/>
    <mergeCell ref="A80:X80"/>
    <mergeCell ref="A68:Y68"/>
    <mergeCell ref="A75:Y75"/>
    <mergeCell ref="A64:Y64"/>
    <mergeCell ref="A87:X87"/>
    <mergeCell ref="A3:T3"/>
    <mergeCell ref="A4:F4"/>
    <mergeCell ref="X13:Y13"/>
    <mergeCell ref="B12:D13"/>
    <mergeCell ref="W10:Y10"/>
    <mergeCell ref="V7:Y7"/>
    <mergeCell ref="V5:W5"/>
    <mergeCell ref="V6:Y6"/>
    <mergeCell ref="V8:X8"/>
    <mergeCell ref="A1:T1"/>
    <mergeCell ref="W9:Y9"/>
    <mergeCell ref="U15:U17"/>
    <mergeCell ref="O14:V14"/>
    <mergeCell ref="W1:Y1"/>
    <mergeCell ref="A5:F5"/>
    <mergeCell ref="P15:Q15"/>
    <mergeCell ref="A2:D2"/>
    <mergeCell ref="R15:S15"/>
    <mergeCell ref="N15:N17"/>
    <mergeCell ref="J15:J17"/>
    <mergeCell ref="M15:M17"/>
    <mergeCell ref="E14:E17"/>
    <mergeCell ref="F14:F17"/>
    <mergeCell ref="A39:X39"/>
    <mergeCell ref="A27:Y27"/>
    <mergeCell ref="A38:X38"/>
    <mergeCell ref="A20:Y20"/>
    <mergeCell ref="I15:I17"/>
    <mergeCell ref="K15:K17"/>
    <mergeCell ref="T15:T17"/>
    <mergeCell ref="L15:L17"/>
    <mergeCell ref="C14:C17"/>
    <mergeCell ref="A19:Y19"/>
    <mergeCell ref="V15:V17"/>
    <mergeCell ref="O15:O17"/>
    <mergeCell ref="H14:N14"/>
    <mergeCell ref="D14:D17"/>
    <mergeCell ref="H15:H17"/>
    <mergeCell ref="A368:Y368"/>
    <mergeCell ref="A93:Y93"/>
    <mergeCell ref="A110:Y110"/>
    <mergeCell ref="A122:X122"/>
    <mergeCell ref="A188:X188"/>
    <mergeCell ref="A181:Y181"/>
    <mergeCell ref="A171:X171"/>
    <mergeCell ref="A269:X269"/>
    <mergeCell ref="A237:X237"/>
    <mergeCell ref="A129:X129"/>
    <mergeCell ref="A228:X228"/>
    <mergeCell ref="A209:X209"/>
    <mergeCell ref="A218:X218"/>
    <mergeCell ref="A160:X160"/>
    <mergeCell ref="A143:X143"/>
    <mergeCell ref="A149:X149"/>
    <mergeCell ref="A679:Y679"/>
    <mergeCell ref="A653:Y653"/>
    <mergeCell ref="A138:X138"/>
    <mergeCell ref="A233:Y233"/>
    <mergeCell ref="A165:Y165"/>
    <mergeCell ref="A360:Y360"/>
    <mergeCell ref="A430:Y430"/>
    <mergeCell ref="A437:Y437"/>
    <mergeCell ref="A510:Y510"/>
    <mergeCell ref="A482:Y482"/>
    <mergeCell ref="B787:Y787"/>
    <mergeCell ref="A793:Y793"/>
    <mergeCell ref="A794:Y794"/>
    <mergeCell ref="A807:Y807"/>
    <mergeCell ref="A611:Y611"/>
    <mergeCell ref="A675:Y675"/>
    <mergeCell ref="A658:Y658"/>
    <mergeCell ref="A672:X672"/>
    <mergeCell ref="A662:Y662"/>
    <mergeCell ref="A648:Y648"/>
    <mergeCell ref="A806:B806"/>
    <mergeCell ref="A802:Y802"/>
    <mergeCell ref="A799:Y799"/>
    <mergeCell ref="A801:B801"/>
    <mergeCell ref="A596:Y596"/>
    <mergeCell ref="A821:B821"/>
    <mergeCell ref="A810:B810"/>
    <mergeCell ref="A811:Y811"/>
    <mergeCell ref="A817:B817"/>
    <mergeCell ref="A818:Y818"/>
  </mergeCells>
  <printOptions horizontalCentered="1"/>
  <pageMargins left="0" right="0" top="0.1968503937007874" bottom="0.3937007874015748" header="0" footer="0"/>
  <pageSetup horizontalDpi="600" verticalDpi="600" orientation="landscape" paperSize="9" scale="75" r:id="rId1"/>
  <headerFooter alignWithMargins="0">
    <oddFooter>&amp;CСтраница &amp;P</oddFooter>
  </headerFooter>
  <rowBreaks count="26" manualBreakCount="26">
    <brk id="26" max="24" man="1"/>
    <brk id="37" max="24" man="1"/>
    <brk id="63" max="24" man="1"/>
    <brk id="98" max="24" man="1"/>
    <brk id="137" max="24" man="1"/>
    <brk id="170" max="24" man="1"/>
    <brk id="208" max="24" man="1"/>
    <brk id="236" max="24" man="1"/>
    <brk id="268" max="24" man="1"/>
    <brk id="301" max="24" man="1"/>
    <brk id="330" max="24" man="1"/>
    <brk id="362" max="24" man="1"/>
    <brk id="394" max="24" man="1"/>
    <brk id="428" max="24" man="1"/>
    <brk id="453" max="24" man="1"/>
    <brk id="477" max="24" man="1"/>
    <brk id="509" max="24" man="1"/>
    <brk id="542" max="24" man="1"/>
    <brk id="580" max="24" man="1"/>
    <brk id="610" max="24" man="1"/>
    <brk id="661" max="24" man="1"/>
    <brk id="693" max="24" man="1"/>
    <brk id="724" max="24" man="1"/>
    <brk id="757" max="24" man="1"/>
    <brk id="786" max="24" man="1"/>
    <brk id="81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volikova</dc:creator>
  <cp:keywords/>
  <dc:description/>
  <cp:lastModifiedBy>Andrew Arutunyan</cp:lastModifiedBy>
  <dcterms:created xsi:type="dcterms:W3CDTF">2016-02-18T10:52:43Z</dcterms:created>
  <dcterms:modified xsi:type="dcterms:W3CDTF">2016-02-18T13:14:12Z</dcterms:modified>
  <cp:category/>
  <cp:version/>
  <cp:contentType/>
  <cp:contentStatus/>
</cp:coreProperties>
</file>